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workbookProtection workbookAlgorithmName="SHA-512" workbookHashValue="bv8kV+F2kh7xEc26III/g8DUgmr3eklfOOAtRTeqAeJiD/swNl0wzSBGBdf5G7yevwEk264qNkimxs3KTr9+Xg==" workbookSaltValue="uagnDR/5oOuBZoYVx1rdGQ==" workbookSpinCount="100000" lockStructure="1"/>
  <bookViews>
    <workbookView xWindow="0" yWindow="0" windowWidth="14370" windowHeight="7530" activeTab="1"/>
  </bookViews>
  <sheets>
    <sheet name="Förderantrag" sheetId="1" r:id="rId1"/>
    <sheet name="Antragsdaten" sheetId="2" r:id="rId2"/>
    <sheet name="Hintergrunddaten" sheetId="3" state="hidden" r:id="rId3"/>
    <sheet name="Fördersätze Förderrichtlinie"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2" l="1"/>
  <c r="E86" i="2" l="1"/>
  <c r="G93" i="3" s="1"/>
  <c r="H42" i="2" l="1"/>
  <c r="F34" i="3"/>
  <c r="B12" i="3" l="1"/>
  <c r="A17" i="4" l="1"/>
  <c r="G87" i="3" l="1"/>
  <c r="D64" i="3" s="1"/>
  <c r="E64" i="3" s="1"/>
  <c r="G108" i="3"/>
  <c r="G88" i="3" l="1"/>
  <c r="G89" i="3" s="1"/>
  <c r="G107" i="3"/>
  <c r="H36" i="2"/>
  <c r="K84" i="3"/>
  <c r="G85" i="3"/>
  <c r="B65" i="3"/>
  <c r="G84" i="3"/>
  <c r="B84" i="3"/>
  <c r="J84" i="3"/>
  <c r="A23" i="4"/>
  <c r="B37" i="4"/>
  <c r="B33" i="4"/>
  <c r="D33" i="4"/>
  <c r="E33" i="4"/>
  <c r="B35" i="4"/>
  <c r="D35" i="4"/>
  <c r="E35" i="4"/>
  <c r="D37" i="4"/>
  <c r="E37" i="4"/>
  <c r="B32" i="4"/>
  <c r="D32" i="4"/>
  <c r="E32" i="4"/>
  <c r="D30" i="4"/>
  <c r="B19" i="4"/>
  <c r="D19" i="4"/>
  <c r="E19" i="4"/>
  <c r="B20" i="4"/>
  <c r="D20" i="4"/>
  <c r="E20" i="4"/>
  <c r="A35" i="4"/>
  <c r="A36" i="4"/>
  <c r="A37" i="4"/>
  <c r="A4" i="4"/>
  <c r="A5" i="4"/>
  <c r="A6" i="4"/>
  <c r="A7" i="4"/>
  <c r="A8" i="4"/>
  <c r="A9" i="4"/>
  <c r="A10" i="4"/>
  <c r="A11" i="4"/>
  <c r="A12" i="4"/>
  <c r="A13" i="4"/>
  <c r="A14" i="4"/>
  <c r="A15" i="4"/>
  <c r="A16" i="4"/>
  <c r="A18" i="4"/>
  <c r="A19" i="4"/>
  <c r="A20" i="4"/>
  <c r="A21" i="4"/>
  <c r="A22" i="4"/>
  <c r="A24" i="4"/>
  <c r="A25" i="4"/>
  <c r="A26" i="4"/>
  <c r="A27" i="4"/>
  <c r="A28" i="4"/>
  <c r="A29" i="4"/>
  <c r="A30" i="4"/>
  <c r="A31" i="4"/>
  <c r="A32" i="4"/>
  <c r="A33" i="4"/>
  <c r="A34" i="4"/>
  <c r="A3" i="4"/>
  <c r="B14" i="4"/>
  <c r="B15" i="4"/>
  <c r="B30" i="4"/>
  <c r="E30" i="4"/>
  <c r="B28" i="4"/>
  <c r="B29" i="4"/>
  <c r="H28" i="2" l="1"/>
  <c r="H27" i="2"/>
  <c r="D24" i="2"/>
  <c r="D25" i="2"/>
  <c r="E43" i="2"/>
  <c r="H41" i="2"/>
  <c r="C40" i="2"/>
  <c r="E40" i="2" s="1"/>
  <c r="H40" i="2" s="1"/>
  <c r="E44" i="2" s="1"/>
  <c r="B8" i="3"/>
  <c r="F35" i="3"/>
  <c r="H35" i="3"/>
  <c r="H34" i="3"/>
  <c r="B10" i="3"/>
  <c r="H58" i="2"/>
  <c r="G49" i="2"/>
  <c r="G56" i="2"/>
  <c r="G63" i="2"/>
  <c r="G71" i="2"/>
  <c r="H75" i="2"/>
  <c r="H74" i="2"/>
  <c r="H73" i="2"/>
  <c r="H44" i="3"/>
  <c r="E29" i="4" s="1"/>
  <c r="F44" i="3"/>
  <c r="D29" i="4" s="1"/>
  <c r="E72" i="2"/>
  <c r="I45" i="3"/>
  <c r="I44" i="3"/>
  <c r="H45" i="3"/>
  <c r="H43" i="3"/>
  <c r="E28" i="4" s="1"/>
  <c r="H41" i="3"/>
  <c r="H42" i="3"/>
  <c r="F45" i="3"/>
  <c r="F43" i="3"/>
  <c r="D28" i="4" s="1"/>
  <c r="E23" i="2"/>
  <c r="D83" i="2"/>
  <c r="D29" i="2"/>
  <c r="A33" i="3" l="1"/>
  <c r="C84" i="3" s="1"/>
  <c r="C85" i="3" s="1"/>
  <c r="D101" i="3"/>
  <c r="D102" i="3" s="1"/>
  <c r="G102" i="3" s="1"/>
  <c r="G101" i="3" s="1"/>
  <c r="D97" i="3"/>
  <c r="D98" i="3" s="1"/>
  <c r="E76" i="2"/>
  <c r="F23" i="2"/>
  <c r="D26" i="2"/>
  <c r="D24" i="3"/>
  <c r="E29" i="2"/>
  <c r="H94" i="2" l="1"/>
  <c r="H93" i="2"/>
  <c r="H22" i="2"/>
  <c r="H16" i="2"/>
  <c r="E4" i="3"/>
  <c r="A49" i="1" l="1"/>
  <c r="B96" i="1" l="1"/>
  <c r="D15" i="1" l="1"/>
  <c r="G105" i="3" l="1"/>
  <c r="G92" i="3"/>
  <c r="G91" i="3"/>
  <c r="D24" i="1"/>
  <c r="F79" i="2"/>
  <c r="G79" i="2"/>
  <c r="H79" i="2"/>
  <c r="F31" i="2"/>
  <c r="G31" i="2"/>
  <c r="F68" i="2"/>
  <c r="E88" i="2"/>
  <c r="E12" i="2" l="1"/>
  <c r="H11" i="2"/>
  <c r="J109" i="3"/>
  <c r="J106" i="3"/>
  <c r="J103" i="3"/>
  <c r="J94" i="3"/>
  <c r="J90" i="3"/>
  <c r="J86" i="3"/>
  <c r="J75" i="3"/>
  <c r="K103" i="3"/>
  <c r="K106" i="3"/>
  <c r="K109" i="3"/>
  <c r="K75" i="3"/>
  <c r="K86" i="3"/>
  <c r="K90" i="3"/>
  <c r="L94" i="3"/>
  <c r="A28" i="1"/>
  <c r="B40" i="1"/>
  <c r="C119" i="3" l="1"/>
  <c r="A16" i="1"/>
  <c r="F45" i="1"/>
  <c r="H108" i="2"/>
  <c r="A45" i="1"/>
  <c r="H107" i="2"/>
  <c r="H9" i="2"/>
  <c r="C126" i="3" l="1"/>
  <c r="G99" i="2" l="1"/>
  <c r="B91" i="1" l="1"/>
  <c r="B125" i="1" s="1"/>
  <c r="A125" i="1"/>
  <c r="A91" i="1"/>
  <c r="H10" i="2" l="1"/>
  <c r="B4" i="4"/>
  <c r="B5" i="4"/>
  <c r="B6" i="4"/>
  <c r="B7" i="4"/>
  <c r="B8" i="4"/>
  <c r="B9" i="4"/>
  <c r="B10" i="4"/>
  <c r="B11" i="4"/>
  <c r="B13" i="4"/>
  <c r="B17" i="4"/>
  <c r="B22" i="4"/>
  <c r="B23" i="4"/>
  <c r="B24" i="4"/>
  <c r="B25" i="4"/>
  <c r="B26" i="4"/>
  <c r="B27" i="4"/>
  <c r="A25" i="1" l="1"/>
  <c r="G109" i="3" l="1"/>
  <c r="G106" i="3"/>
  <c r="G103" i="3"/>
  <c r="G94" i="3"/>
  <c r="G90" i="3"/>
  <c r="G86" i="3"/>
  <c r="G77" i="3"/>
  <c r="G76" i="3"/>
  <c r="G75" i="3"/>
  <c r="H52" i="3"/>
  <c r="F52" i="3"/>
  <c r="H50" i="3"/>
  <c r="F50" i="3"/>
  <c r="H48" i="3"/>
  <c r="F48" i="3"/>
  <c r="H47" i="3"/>
  <c r="F47" i="3"/>
  <c r="E27" i="4"/>
  <c r="F42" i="3"/>
  <c r="D27" i="4" s="1"/>
  <c r="E26" i="4"/>
  <c r="F41" i="3"/>
  <c r="D26" i="4" s="1"/>
  <c r="H40" i="3"/>
  <c r="E25" i="4" s="1"/>
  <c r="F40" i="3"/>
  <c r="D25" i="4" s="1"/>
  <c r="I39" i="3"/>
  <c r="I41" i="3" s="1"/>
  <c r="H39" i="3"/>
  <c r="E24" i="4" s="1"/>
  <c r="F39" i="3"/>
  <c r="D24" i="4" s="1"/>
  <c r="H38" i="3"/>
  <c r="E23" i="4" s="1"/>
  <c r="F38" i="3"/>
  <c r="D23" i="4" s="1"/>
  <c r="H37" i="3"/>
  <c r="E22" i="4" s="1"/>
  <c r="F37" i="3"/>
  <c r="D22" i="4" s="1"/>
  <c r="H32" i="3"/>
  <c r="E17" i="4" s="1"/>
  <c r="F32" i="3"/>
  <c r="D17" i="4" s="1"/>
  <c r="H28" i="3"/>
  <c r="F28" i="3"/>
  <c r="D13" i="4" s="1"/>
  <c r="E14" i="3"/>
  <c r="E13" i="3"/>
  <c r="B70" i="3"/>
  <c r="B109" i="3" s="1"/>
  <c r="E10" i="3"/>
  <c r="B11" i="3"/>
  <c r="B69" i="3" s="1"/>
  <c r="B106" i="3" s="1"/>
  <c r="E9" i="3"/>
  <c r="B7" i="3"/>
  <c r="B68" i="3" s="1"/>
  <c r="B103" i="3" s="1"/>
  <c r="F8" i="3"/>
  <c r="E8" i="3"/>
  <c r="B9" i="3"/>
  <c r="B67" i="3" s="1"/>
  <c r="B94" i="3" s="1"/>
  <c r="F7" i="3"/>
  <c r="E7" i="3"/>
  <c r="C81" i="2"/>
  <c r="E81" i="2" s="1"/>
  <c r="H81" i="2" s="1"/>
  <c r="F6" i="3"/>
  <c r="E6" i="3"/>
  <c r="B6" i="3"/>
  <c r="B64" i="3" s="1"/>
  <c r="B86" i="3" s="1"/>
  <c r="F5" i="3"/>
  <c r="E5" i="3"/>
  <c r="B5" i="3"/>
  <c r="B63" i="3" s="1"/>
  <c r="G4" i="3"/>
  <c r="F4" i="3"/>
  <c r="H17" i="2" s="1"/>
  <c r="H132" i="2"/>
  <c r="H131" i="2"/>
  <c r="H130" i="2"/>
  <c r="H129" i="2"/>
  <c r="H128" i="2"/>
  <c r="H125" i="2"/>
  <c r="H124" i="2"/>
  <c r="H122" i="2"/>
  <c r="H119" i="2"/>
  <c r="H118" i="2"/>
  <c r="H117" i="2"/>
  <c r="H116" i="2"/>
  <c r="H115" i="2"/>
  <c r="H114" i="2"/>
  <c r="H113" i="2"/>
  <c r="H112" i="2"/>
  <c r="H111" i="2"/>
  <c r="H110" i="2"/>
  <c r="E102" i="2"/>
  <c r="H100" i="2"/>
  <c r="G110" i="3" s="1"/>
  <c r="E99" i="2"/>
  <c r="C98" i="2"/>
  <c r="E98" i="2" s="1"/>
  <c r="H98" i="2" s="1"/>
  <c r="E96" i="2"/>
  <c r="E91" i="2"/>
  <c r="C90" i="2"/>
  <c r="E90" i="2" s="1"/>
  <c r="A49" i="3" s="1"/>
  <c r="E38" i="2"/>
  <c r="F35" i="2"/>
  <c r="E35" i="2"/>
  <c r="H34" i="2"/>
  <c r="C33" i="2"/>
  <c r="E33" i="2" s="1"/>
  <c r="A46" i="3" s="1"/>
  <c r="C103" i="3" s="1"/>
  <c r="E79" i="2"/>
  <c r="H66" i="2"/>
  <c r="H65" i="2"/>
  <c r="D99" i="3" s="1"/>
  <c r="D100" i="3" s="1"/>
  <c r="G100" i="3" s="1"/>
  <c r="G99" i="3" s="1"/>
  <c r="E64" i="2"/>
  <c r="D64" i="2"/>
  <c r="E63" i="2"/>
  <c r="D62" i="2"/>
  <c r="H59" i="2"/>
  <c r="E57" i="2"/>
  <c r="D57" i="2"/>
  <c r="E56" i="2"/>
  <c r="D55" i="2"/>
  <c r="H52" i="2"/>
  <c r="H51" i="2"/>
  <c r="D95" i="3" s="1"/>
  <c r="E50" i="2"/>
  <c r="D50" i="2"/>
  <c r="E49" i="2"/>
  <c r="D48" i="2"/>
  <c r="E19" i="2"/>
  <c r="H84" i="2"/>
  <c r="E82" i="2"/>
  <c r="E31" i="2"/>
  <c r="C15" i="2"/>
  <c r="E15" i="2" s="1"/>
  <c r="A18" i="3" s="1"/>
  <c r="A114" i="1"/>
  <c r="A71" i="1"/>
  <c r="F69" i="1"/>
  <c r="A69" i="1"/>
  <c r="H67" i="1"/>
  <c r="A67" i="1"/>
  <c r="F63" i="1"/>
  <c r="A63" i="1"/>
  <c r="A61" i="1"/>
  <c r="A59" i="1"/>
  <c r="A57" i="1"/>
  <c r="A55" i="1"/>
  <c r="F53" i="1"/>
  <c r="A53" i="1"/>
  <c r="H51" i="1"/>
  <c r="A51" i="1"/>
  <c r="F49" i="1"/>
  <c r="A47" i="1"/>
  <c r="A40" i="1"/>
  <c r="A33" i="1"/>
  <c r="A23" i="1"/>
  <c r="A4" i="1"/>
  <c r="A3" i="1"/>
  <c r="A2" i="1"/>
  <c r="C125" i="3" l="1"/>
  <c r="D12" i="1" s="1"/>
  <c r="G104" i="3"/>
  <c r="E101" i="2"/>
  <c r="C106" i="3"/>
  <c r="C108" i="3" s="1"/>
  <c r="I84" i="3"/>
  <c r="E60" i="2"/>
  <c r="E53" i="2"/>
  <c r="E87" i="2"/>
  <c r="E68" i="2"/>
  <c r="E67" i="2" s="1"/>
  <c r="C21" i="2"/>
  <c r="E21" i="2" s="1"/>
  <c r="A27" i="3" s="1"/>
  <c r="C86" i="3" s="1"/>
  <c r="C88" i="3" s="1"/>
  <c r="G98" i="3"/>
  <c r="G97" i="3" s="1"/>
  <c r="C124" i="3"/>
  <c r="C117" i="3" s="1"/>
  <c r="B75" i="3"/>
  <c r="E13" i="4"/>
  <c r="B66" i="3"/>
  <c r="B90" i="3" s="1"/>
  <c r="C46" i="2"/>
  <c r="E46" i="2" s="1"/>
  <c r="A36" i="3" s="1"/>
  <c r="C94" i="3" s="1"/>
  <c r="D96" i="3"/>
  <c r="G96" i="3" s="1"/>
  <c r="G95" i="3" s="1"/>
  <c r="A31" i="3"/>
  <c r="C90" i="3" s="1"/>
  <c r="C91" i="3" s="1"/>
  <c r="H15" i="2"/>
  <c r="E18" i="2" s="1"/>
  <c r="C105" i="3"/>
  <c r="C104" i="3"/>
  <c r="I103" i="3"/>
  <c r="C75" i="3"/>
  <c r="H33" i="2"/>
  <c r="E37" i="2" s="1"/>
  <c r="A51" i="3"/>
  <c r="C109" i="3" s="1"/>
  <c r="H90" i="2"/>
  <c r="E95" i="2" s="1"/>
  <c r="I106" i="3" l="1"/>
  <c r="C107" i="3"/>
  <c r="I86" i="3"/>
  <c r="C87" i="3"/>
  <c r="I94" i="3"/>
  <c r="C99" i="3"/>
  <c r="C89" i="3"/>
  <c r="H21" i="2"/>
  <c r="E30" i="2" s="1"/>
  <c r="D10" i="1"/>
  <c r="C97" i="3"/>
  <c r="C95" i="3"/>
  <c r="H46" i="2"/>
  <c r="E78" i="2" s="1"/>
  <c r="C101" i="3"/>
  <c r="C115" i="3"/>
  <c r="C92" i="3"/>
  <c r="C93" i="3"/>
  <c r="I90" i="3"/>
  <c r="C80" i="3"/>
  <c r="I75" i="3"/>
  <c r="C79" i="3"/>
  <c r="C78" i="3"/>
  <c r="C83" i="3"/>
  <c r="C81" i="3"/>
  <c r="C77" i="3"/>
  <c r="C82" i="3"/>
  <c r="C76" i="3"/>
  <c r="I109" i="3"/>
  <c r="C110" i="3"/>
  <c r="C116" i="3" l="1"/>
  <c r="D16" i="1"/>
  <c r="C118" i="3"/>
  <c r="F78" i="2"/>
  <c r="B18" i="1" l="1"/>
  <c r="A18" i="1" s="1"/>
  <c r="B20" i="1"/>
  <c r="A20" i="1" s="1"/>
  <c r="B21" i="1"/>
  <c r="B31" i="1"/>
  <c r="A31" i="1" s="1"/>
  <c r="B19" i="1"/>
  <c r="A19" i="1" s="1"/>
  <c r="B30" i="1"/>
  <c r="A30" i="1" s="1"/>
  <c r="B29" i="1"/>
  <c r="A29" i="1" s="1"/>
  <c r="F12" i="2" l="1"/>
  <c r="A21" i="1"/>
  <c r="C120" i="3"/>
  <c r="A75" i="1" s="1"/>
  <c r="D23" i="1" l="1"/>
  <c r="D7" i="3"/>
  <c r="F83" i="1" l="1"/>
  <c r="A111" i="1"/>
  <c r="H142" i="2"/>
  <c r="H138" i="2"/>
  <c r="H81" i="1"/>
  <c r="H148" i="2"/>
  <c r="H140" i="2"/>
  <c r="H144" i="2"/>
  <c r="A85" i="1"/>
  <c r="A87" i="1"/>
  <c r="H141" i="2"/>
  <c r="H139" i="2"/>
  <c r="H145" i="2"/>
  <c r="A81" i="1"/>
  <c r="H146" i="2"/>
  <c r="B136" i="2"/>
  <c r="A83" i="1"/>
  <c r="A79" i="1"/>
  <c r="B89" i="1"/>
  <c r="A89" i="1" s="1"/>
  <c r="F79" i="1"/>
  <c r="A77" i="1"/>
  <c r="H147" i="2"/>
  <c r="C128" i="3" l="1"/>
  <c r="D11" i="1" s="1"/>
</calcChain>
</file>

<file path=xl/sharedStrings.xml><?xml version="1.0" encoding="utf-8"?>
<sst xmlns="http://schemas.openxmlformats.org/spreadsheetml/2006/main" count="470" uniqueCount="273">
  <si>
    <t>Stadt Dingolfing</t>
  </si>
  <si>
    <t>Klimaschutz</t>
  </si>
  <si>
    <t>Dr.-Josef-Hastreiter-Str. 2</t>
  </si>
  <si>
    <t>84130 Dingolfing</t>
  </si>
  <si>
    <t>Förderantrag</t>
  </si>
  <si>
    <t>(Antragsteller)</t>
  </si>
  <si>
    <t>Ort, Datum</t>
  </si>
  <si>
    <t>Dingolfinger Anreizprogramm Klimaschutzoffensive</t>
  </si>
  <si>
    <t>Angaben zum Antragsteller</t>
  </si>
  <si>
    <t>Anrede</t>
  </si>
  <si>
    <t>Vorname</t>
  </si>
  <si>
    <t>Name</t>
  </si>
  <si>
    <t>Straße</t>
  </si>
  <si>
    <t>Hausnr.</t>
  </si>
  <si>
    <t>PLZ</t>
  </si>
  <si>
    <t>Wohnort</t>
  </si>
  <si>
    <t>Geburtsdatum</t>
  </si>
  <si>
    <t>E-Mail-Adresse</t>
  </si>
  <si>
    <t>Telefonnummer</t>
  </si>
  <si>
    <t>Kontoverbindung (IBAN) für die Auszahlung</t>
  </si>
  <si>
    <t>Kontoinhaber: Vorname</t>
  </si>
  <si>
    <t>Mit freundlichen Grüßen,</t>
  </si>
  <si>
    <t>Fördervoraussetzungen</t>
  </si>
  <si>
    <t>Datenschutzhinweise</t>
  </si>
  <si>
    <t>Rechtliche Hinweise</t>
  </si>
  <si>
    <t>Subventionserhebliche Tatsachen</t>
  </si>
  <si>
    <t>Falsche Angaben in Bezug auf subventionserhebliche Tatsachen können gemäß § 264 Strafgesetzbuch (StGB) strafrechtliche Konsequenzen für Antragsteller und Zuwendungsempfänger haben. Darunter fallen alle Angaben, die für die Gewährung der beantragten Zuwendung erheblich sind.</t>
  </si>
  <si>
    <t>Bestätigung der Angaben</t>
  </si>
  <si>
    <t>Dropdown Auswahl der Förderprogramme</t>
  </si>
  <si>
    <t>Austauschprämie Zentralheizung</t>
  </si>
  <si>
    <t>Thermische Solaranlage</t>
  </si>
  <si>
    <t>Lüftungsanlage</t>
  </si>
  <si>
    <t>Geplante Anlage</t>
  </si>
  <si>
    <t>Biomasse</t>
  </si>
  <si>
    <t>Fördersummen</t>
  </si>
  <si>
    <t>BHKW</t>
  </si>
  <si>
    <t>Prüfung:</t>
  </si>
  <si>
    <t>Brennstoffzellenheizung</t>
  </si>
  <si>
    <t>Beantragte Fördersumme</t>
  </si>
  <si>
    <t>Kollektorfläche Solarthermie</t>
  </si>
  <si>
    <t>Größe Pufferspeicher</t>
  </si>
  <si>
    <t>Liter</t>
  </si>
  <si>
    <t>m²</t>
  </si>
  <si>
    <t>Euro pro m2</t>
  </si>
  <si>
    <t>Fläche/Anzahl Minimal</t>
  </si>
  <si>
    <t>Fläche/Anzahl Maximal</t>
  </si>
  <si>
    <t>Zentrale Lüftungsanlage</t>
  </si>
  <si>
    <t>Dezentrale Lüftungsanlage</t>
  </si>
  <si>
    <t>Euro pro Gerät</t>
  </si>
  <si>
    <t>Euro pro kWh/kWp</t>
  </si>
  <si>
    <t>Zusätzlich: Ökobonus</t>
  </si>
  <si>
    <t>Fördergrenze prozentual d. anr. Kosten</t>
  </si>
  <si>
    <t>Beantrage Fördersumme</t>
  </si>
  <si>
    <t>kWp</t>
  </si>
  <si>
    <t>kWh</t>
  </si>
  <si>
    <t>Förderhöhe</t>
  </si>
  <si>
    <t>Antragsteller:</t>
  </si>
  <si>
    <t>Außenwanddämmung</t>
  </si>
  <si>
    <t>Auswahl Ökobonus</t>
  </si>
  <si>
    <t>Ja</t>
  </si>
  <si>
    <t>Nein</t>
  </si>
  <si>
    <t>Maximale Fördersumme</t>
  </si>
  <si>
    <t>Dämmung aus nachwachsenden Rohstoffen</t>
  </si>
  <si>
    <t>Maximale Förderquote</t>
  </si>
  <si>
    <t>Maximale Förderung (Euro)</t>
  </si>
  <si>
    <t>Minimale Förderung (Euro)</t>
  </si>
  <si>
    <t>Abhähngig von Überpunkt</t>
  </si>
  <si>
    <t>- Fördersatz</t>
  </si>
  <si>
    <t>Auswahl Programmpunkt:</t>
  </si>
  <si>
    <t>Legende:</t>
  </si>
  <si>
    <t>Feste Zuordnugnen = NICHT ÄNDERN</t>
  </si>
  <si>
    <t>Arbeitsfenster = Anpassbar</t>
  </si>
  <si>
    <t>Dropdown Auswahl der Lüftungsanlagen</t>
  </si>
  <si>
    <t>Stück</t>
  </si>
  <si>
    <t>-Anzahl der Lüfungsgeräte</t>
  </si>
  <si>
    <t>Analog zu Dezentral</t>
  </si>
  <si>
    <t>Geplante Anlagenart</t>
  </si>
  <si>
    <t>Förderfähige Größe</t>
  </si>
  <si>
    <t>ACHTUNG: Nur den ausgewählten (aktiven) Programmpunkt bearbeiten. Alle sonstigen Angaben in anderen Programmpunkten werden nicht gewertet.</t>
  </si>
  <si>
    <t>Status</t>
  </si>
  <si>
    <t>Euro</t>
  </si>
  <si>
    <t>Pro m² Solaranlage ist folgendes Volumen (l) nötig:</t>
  </si>
  <si>
    <t>Thermische Solaranlage - Anforderung Pufferspeicher</t>
  </si>
  <si>
    <t>Bezeichnung für aktives Programm</t>
  </si>
  <si>
    <t>Aktiv</t>
  </si>
  <si>
    <t>Hauptpunkt</t>
  </si>
  <si>
    <t>Unterpunkt</t>
  </si>
  <si>
    <t>Geplante Anlage:</t>
  </si>
  <si>
    <t>Aktiver Unterpunkt</t>
  </si>
  <si>
    <t>Aktiver Programmpunkt</t>
  </si>
  <si>
    <t>1 = Ja/Aktiv, 0 = Nein/Inaktiv</t>
  </si>
  <si>
    <t>Bezeichnungen</t>
  </si>
  <si>
    <t>A</t>
  </si>
  <si>
    <t>B</t>
  </si>
  <si>
    <t>C</t>
  </si>
  <si>
    <t>D</t>
  </si>
  <si>
    <t>E</t>
  </si>
  <si>
    <t>F</t>
  </si>
  <si>
    <t>G</t>
  </si>
  <si>
    <t>Dämmfläche Kellerdecke/Bodenplatte</t>
  </si>
  <si>
    <t>Dämmfläche oberste Geschossdecke/Dach</t>
  </si>
  <si>
    <t>Dämmfläche Dämmung Außenwand</t>
  </si>
  <si>
    <t>Unterpunkt 1</t>
  </si>
  <si>
    <t>Unterpunkt 2</t>
  </si>
  <si>
    <t>Unterpunkt 3</t>
  </si>
  <si>
    <t>Programmpunkte</t>
  </si>
  <si>
    <t>Für Förderantrag - Text</t>
  </si>
  <si>
    <t>Beantragte Fördersumme:</t>
  </si>
  <si>
    <t>Vorhandener Energieträger:</t>
  </si>
  <si>
    <t>Förderfähige Größe der Anlage:</t>
  </si>
  <si>
    <t>Dämmfläche Kellerdecke/Bodenplatte:</t>
  </si>
  <si>
    <t>Geplante Anlagenart:</t>
  </si>
  <si>
    <t>Anzahl der Lüfungsgeräte:</t>
  </si>
  <si>
    <t>Für Förderantrag - zentrale Werte und Antragsdaten</t>
  </si>
  <si>
    <t>Dropdown Vorhandener Energieträger</t>
  </si>
  <si>
    <t>Antragsdaten: Antragsteller</t>
  </si>
  <si>
    <t>Förderantrag - Textbausteine</t>
  </si>
  <si>
    <t>Antragsdaten - Fördergegenstand</t>
  </si>
  <si>
    <t>Aktiver Förderantrag:</t>
  </si>
  <si>
    <t>Angaben zur Kontoverbindung</t>
  </si>
  <si>
    <t>Kontoinhaber - Vorname</t>
  </si>
  <si>
    <t>Kontoinhaber - Nachname</t>
  </si>
  <si>
    <t>Nachname</t>
  </si>
  <si>
    <t>Ort</t>
  </si>
  <si>
    <t>Dämmung Oberste Geschossdecke/Dach</t>
  </si>
  <si>
    <t>Dämmung Kellerdecke/Bodenplatte</t>
  </si>
  <si>
    <t>Dämmfläche Außenwand:</t>
  </si>
  <si>
    <t>Dämmfläche Oberste Geschossdecke/Dach:</t>
  </si>
  <si>
    <t>Flurnummer und Gemarkung</t>
  </si>
  <si>
    <t>Investitionsobjekt der geplanten Maßnahme</t>
  </si>
  <si>
    <t>Antragsformular</t>
  </si>
  <si>
    <t>Überprüfung: Alle Angaben korrekt?</t>
  </si>
  <si>
    <t>Investobjekt in Dingolfing?</t>
  </si>
  <si>
    <t>Zusätzlich nötige Daten</t>
  </si>
  <si>
    <t>Im Rahmen der Förderung werden personenbezogene und sonstige Daten im Sinne der EU-Datenschutzgrundverordnung (Art. 2 ff. DSGVO) verarbeitet. Die in diesem Antrag abgefragten personenbezogenen Daten werden insoweit erhoben, verarbeitet und genutzt, wie dies für die Antragstellung und Abwicklung des Vorhabens erforderlich ist. Eine Übertragung von personenbezogenen Daten an Dritte erfolgt ausschließlich im Rahmen der Antragstellung und Abwicklung für Kontroll- und Auswertungszwecke. Unter https://www.klimaschutz-dingolfing.de/kommunale-foerderungen kann die Datenschutzerklärung eingesehen werden.</t>
  </si>
  <si>
    <t>Mit diesem Antrag kommt kein Vertrag zwischen der Stadt Dingolfing und dem Antragsteller zustande. Es ist damit insbesondere noch keine Entscheidung über die Gewährung eines Zuschusses durch die Stadt Dingolfing verbunden. Die Stadt Dingolfing ist im Rahmen des Förderverfahrens zu weiteren Prüfungen der geförderten Maßnahmen berechtigt. Dahingehend kann die Prüfstelle weitere projektbezogene Unterlagen vom Antragsteller anfordern. Sollten die Prüfungen ergeben, dass die Anforderungen nicht erfüllt sind, kann die Stadt Dingolfing die Auszahlung der Zuschüsse ganz oder teilweise verweigern.</t>
  </si>
  <si>
    <t>Bitte wählen</t>
  </si>
  <si>
    <t>Firma</t>
  </si>
  <si>
    <t>Unterschrift des Antragstellers</t>
  </si>
  <si>
    <t>Vorname (Ansprechpartner)</t>
  </si>
  <si>
    <t>Nachname (Ansprechpartner)</t>
  </si>
  <si>
    <t>Postleitzahl</t>
  </si>
  <si>
    <t>Antragsdaten: Fachfirma</t>
  </si>
  <si>
    <t>Angaben zum Ansprechpartner:</t>
  </si>
  <si>
    <r>
      <rPr>
        <sz val="11"/>
        <color theme="1"/>
        <rFont val="Calibri"/>
        <family val="2"/>
      </rPr>
      <t xml:space="preserve">→ </t>
    </r>
    <r>
      <rPr>
        <sz val="11"/>
        <color theme="1"/>
        <rFont val="Calibri"/>
        <family val="2"/>
        <scheme val="minor"/>
      </rPr>
      <t>Beantragung Ökobonus</t>
    </r>
  </si>
  <si>
    <t>Leistung der neuen PV-Anlage:</t>
  </si>
  <si>
    <t>Nutzbare Speicherkapazität des neuen Batterispeichers:</t>
  </si>
  <si>
    <t>Wärmepumpe</t>
  </si>
  <si>
    <t>Neue Wärmepumpe</t>
  </si>
  <si>
    <t>Wärmepumpe älter als 10 Jahre</t>
  </si>
  <si>
    <t>Anschluss Nah- / Fernwärmenetz</t>
  </si>
  <si>
    <t>ACHTUNG: Bei Maßnahmen in Eigenleistung:</t>
  </si>
  <si>
    <t>Baujahr des Gebäudes</t>
  </si>
  <si>
    <t>Bis 31.12.2001</t>
  </si>
  <si>
    <t>Ab 01.01.2002</t>
  </si>
  <si>
    <t>pro m² Kollektorlfäche</t>
  </si>
  <si>
    <t>pauschal</t>
  </si>
  <si>
    <t>Minimale 
Fördersumme</t>
  </si>
  <si>
    <t>Maximale 
Fördersumme</t>
  </si>
  <si>
    <r>
      <rPr>
        <b/>
        <u/>
        <sz val="11"/>
        <color theme="1"/>
        <rFont val="Calibri"/>
        <family val="2"/>
        <scheme val="minor"/>
      </rPr>
      <t>Programmpunkte</t>
    </r>
    <r>
      <rPr>
        <b/>
        <sz val="11"/>
        <color theme="1"/>
        <rFont val="Calibri"/>
        <family val="2"/>
        <scheme val="minor"/>
      </rPr>
      <t xml:space="preserve"> 
</t>
    </r>
    <r>
      <rPr>
        <sz val="11"/>
        <color theme="1"/>
        <rFont val="Calibri"/>
        <family val="2"/>
        <scheme val="minor"/>
      </rPr>
      <t>und Unterpunkte</t>
    </r>
  </si>
  <si>
    <t>Fördersätze</t>
  </si>
  <si>
    <t>Maßnahme in Eigenleistung geplant?</t>
  </si>
  <si>
    <t>Eigenleistung?</t>
  </si>
  <si>
    <t>(Im Format: DE01 2345 6789 1234 5678 91)</t>
  </si>
  <si>
    <t>Seite 1 von 3</t>
  </si>
  <si>
    <t>Seite 2 von 3</t>
  </si>
  <si>
    <t>Seite 3 von 3</t>
  </si>
  <si>
    <t>Heizöl- oder Erdgasheizung älter als 20 Jahre</t>
  </si>
  <si>
    <t xml:space="preserve">c </t>
  </si>
  <si>
    <t>Ausführender Fachbetrieb oder begleitender Energieeffizienzexperte</t>
  </si>
  <si>
    <t>Art des Gebäudes</t>
  </si>
  <si>
    <t>Wohngebäude</t>
  </si>
  <si>
    <t>Nichtwohngebäude</t>
  </si>
  <si>
    <t>Gebäudetyp</t>
  </si>
  <si>
    <t>Art des Antragstellers</t>
  </si>
  <si>
    <t>Unternehmen</t>
  </si>
  <si>
    <t>Privatperson</t>
  </si>
  <si>
    <t>Verein</t>
  </si>
  <si>
    <t>Stiftung</t>
  </si>
  <si>
    <t>Wohneigentümergemeinschaft (WEG)</t>
  </si>
  <si>
    <t>Ist der Antragsteller ein KMU gemäß 
der EU-Empfehlung 2003/361/EG?</t>
  </si>
  <si>
    <r>
      <t>Achtung:</t>
    </r>
    <r>
      <rPr>
        <sz val="11"/>
        <color theme="1"/>
        <rFont val="Calibri"/>
        <family val="2"/>
        <scheme val="minor"/>
      </rPr>
      <t xml:space="preserve"> 
Die Antragsunterlagen sind vor Maßnahmenbeginn (Auftragsvergabe) bei der Stadt Dingolfing einzureichen. Erst ab Erhalt des schriftlichen Zuwendungsbescheids darf mit der Beauftragung begonnen werden (Siehe Förderrichtlinie).</t>
    </r>
  </si>
  <si>
    <t>KMU-Regelungen erfüllt?</t>
  </si>
  <si>
    <t>Unternehmen müssen KMUs sein, Privatpersonen nicht</t>
  </si>
  <si>
    <t>pro m² gedämmter Fläche</t>
  </si>
  <si>
    <t>Gebäudeart:</t>
  </si>
  <si>
    <t>Anlage 3</t>
  </si>
  <si>
    <t>Anlage 2</t>
  </si>
  <si>
    <t>Anlage 1</t>
  </si>
  <si>
    <t>Das Grundstück sowie das zugehörige Gebäude, bei dem die betreffende Anlage installiert wird, befindet sich im Stadtgebiet der Stadt Dingolfing.</t>
  </si>
  <si>
    <t>Die zum Antragszeitpunkt gültige Förderrichtlinie des Dingolfinger Anreizprogramms Klimaschutzoffensive habe ich gelesen und verstanden. Die Förderbedingungen werden eingehalten.</t>
  </si>
  <si>
    <t>Für die Beantragung des Dingolfinger Anreizprogramms Klimaschutzoffensive müssen die folgenden Voraussetzungen erfüllt sein (Bitte mit Kreuz bestätigen):</t>
  </si>
  <si>
    <t>Die vorläufige U-Wert-Berechnung der gedämmten Bauteile</t>
  </si>
  <si>
    <r>
      <t xml:space="preserve">Sehr geehrte Damen und Herren,
hiermit beantrage ich auf Basis der angegebenen Daten einen Zuschuss im Rahmen des Dingolfinger Anreizprogramms Klimaschutzoffensive und übersende Ihnen den unterschriebenen Förderantrag mit der Bitte um weitere Bearbeitung. Mir ist bewusst, dass alle Voraussetzungen aus den folgenden Blättern und der zugrundeliegenden Förderrichtlinie erfüllt sein müssen, damit der Förderantrag vollständig ist und eine Förderung gewährt werden kann.
</t>
    </r>
    <r>
      <rPr>
        <b/>
        <sz val="11"/>
        <color theme="1"/>
        <rFont val="Calibri"/>
        <family val="2"/>
        <scheme val="minor"/>
      </rPr>
      <t xml:space="preserve">Diesen Förderantrag sende ich unterschrieben per E-Mail (PDF-Format) zusammen mit den erforderlichen Anhängen an </t>
    </r>
    <r>
      <rPr>
        <b/>
        <u/>
        <sz val="11"/>
        <color theme="1"/>
        <rFont val="Calibri"/>
        <family val="2"/>
        <scheme val="minor"/>
      </rPr>
      <t>klimabonus@dingolfing.de</t>
    </r>
    <r>
      <rPr>
        <b/>
        <sz val="11"/>
        <color theme="1"/>
        <rFont val="Calibri"/>
        <family val="2"/>
        <scheme val="minor"/>
      </rPr>
      <t xml:space="preserve">. 
</t>
    </r>
    <r>
      <rPr>
        <sz val="11"/>
        <color theme="1"/>
        <rFont val="Calibri"/>
        <family val="2"/>
        <scheme val="minor"/>
      </rPr>
      <t xml:space="preserve">Folgende Anhänge sind für die Antragstellung notwendig:
</t>
    </r>
    <r>
      <rPr>
        <sz val="11"/>
        <color theme="1"/>
        <rFont val="Calibri"/>
        <family val="2"/>
      </rPr>
      <t/>
    </r>
  </si>
  <si>
    <t>Angaben zum Fachbetrieb / Energieeffizienzexperten</t>
  </si>
  <si>
    <t>Dieser muss  in der Expertenliste für Förderprogramme des Bundes www.energie-effizienz-experten.de gelistet sein.</t>
  </si>
  <si>
    <t>Im Falle von Maßnahmen in Eigenleistung hat stets der Nachweis der fachgerechten Durchführung inklusive einer eigenständigen Dokumentation durch einen Energieeffizienzexperten zu erfolgen.</t>
  </si>
  <si>
    <t>Zu den förderfähigen Kosten zählen u.a. die Kosten für Anschaffung, Installation und Inbetriebnahme der Anlage bzw. der Maßnahme sowie die Kosten für den Energieeffizienzexperten (Siehe Förderrichtlinie).</t>
  </si>
  <si>
    <t>Die gesamten Fördersummen, welche durch den Antragsteller (in Kombination mit anderen Förderprogrammen) in Anspruch genommen werden, überschreitet nicht die förderfähigen Kosten für die Maßnahme. Eine Bereicherung anhand dieses Förderprogramms findet somit nicht statt.</t>
  </si>
  <si>
    <t>Vorhandenes Heizsystem</t>
  </si>
  <si>
    <t>Summe der beantragen Fördersumme</t>
  </si>
  <si>
    <t>-Maximale Förderhöhe: 50 % d. anr. Kosten</t>
  </si>
  <si>
    <t>Alle Anforderungen erfüllt?</t>
  </si>
  <si>
    <t>1 = erfüllt, 0 = nicht erfüllt</t>
  </si>
  <si>
    <t>Kleinste Fördersumme aktuell:</t>
  </si>
  <si>
    <t>Minimalförderung</t>
  </si>
  <si>
    <t>Summe Minimalförderung</t>
  </si>
  <si>
    <t>Maximale Förderhöhe gemäß förderfähigen Kosten:</t>
  </si>
  <si>
    <t>Finale Fördersumme</t>
  </si>
  <si>
    <t>Grunddaten zur Förderung:</t>
  </si>
  <si>
    <t xml:space="preserve">
3</t>
  </si>
  <si>
    <t>Teil 1 - Fördergegenstand:</t>
  </si>
  <si>
    <t>Teil 2 - Antragsteller:</t>
  </si>
  <si>
    <t>Höhe der gepl. förderfähigen Kosten (Summe Angebote)</t>
  </si>
  <si>
    <t>Teil 3 - Ausführender Fachbetrieb oder begleitender Energieeffizienzexperte:</t>
  </si>
  <si>
    <t>Dachfläche des geplanten, extensiven Gründachs:</t>
  </si>
  <si>
    <t>Gesamtkosten d. Maßnahme:</t>
  </si>
  <si>
    <t>Hiermit wird die Förderung durch das Dingolfinger Anreizprogramm Klimaschutzoffensive beantragt. Der Antragsteller bestätigt mit seiner Unterschrift, dass seine Angaben richtig und vollständig sind und dass die Vorgaben aus der Förderrichtlinie nach bestem Wissen und Gewissen erfüllt werden. Weiterhin stimmt der Antragsteller der Datenverarbeitung durch die Stadt Dingolfing zu und hat die Hinweise zu subventionserheblichen Tatsachen zur Kenntnis genommen. Der ausführende Fachbetrieb bzw. der begleitende Energieeffizienzexperte hat die richtilinienkonforme Durchführung der Maßnahme im Rahmen des Verwendungsnachweises schrifltich zu bestätigen.</t>
  </si>
  <si>
    <t>Heizöl-, Erdgas- oder Direktstromheizung</t>
  </si>
  <si>
    <t>- Bemerkung: KMU-Regelung ist nur für Unternehmen relevant - bei Privatpersonen etc. ist hier "Nein" anzugeben.</t>
  </si>
  <si>
    <t>Öl Brennwert + Erneuerbare Energie</t>
  </si>
  <si>
    <t>Gas Brennwert + Erneuerbare Energie</t>
  </si>
  <si>
    <t>Elektrischer Heizstab (PV-Anbindung)</t>
  </si>
  <si>
    <t>Brauchwasserwärmepumpe</t>
  </si>
  <si>
    <t>Erneuerbare Energien</t>
  </si>
  <si>
    <t>Balkonkraftwerk</t>
  </si>
  <si>
    <t>Leistung des Wechselrichters</t>
  </si>
  <si>
    <t>Gesamte Modulleistung des Balkonkraftwerks</t>
  </si>
  <si>
    <t>Watt</t>
  </si>
  <si>
    <t>Steckerfertige Erzeugungsanlagen</t>
  </si>
  <si>
    <t>Balkonkraftwerk - Anforderung Wechselrichterleistung</t>
  </si>
  <si>
    <t>Mindestleistung des Wechselrichters in Watt:</t>
  </si>
  <si>
    <t>Thermische Gebäudehülle</t>
  </si>
  <si>
    <t>Stromspeicher</t>
  </si>
  <si>
    <t>Optional: Leistung der neuen PV-Anlage</t>
  </si>
  <si>
    <t>Bitte bei gemeinsamer Beauftragung mit angeben</t>
  </si>
  <si>
    <t>Holz- oder Holz-Alu-Fenster</t>
  </si>
  <si>
    <t>Kunststoff- oder Aluminiumfenster</t>
  </si>
  <si>
    <t>Davon Schallschutzfenster (Ab Klasse 4)</t>
  </si>
  <si>
    <t>Fenstertausch</t>
  </si>
  <si>
    <t>Art der neuen Fenster</t>
  </si>
  <si>
    <t>- Zusätzlich: Schallschutzbonus</t>
  </si>
  <si>
    <t>Fensterfläche gesamt</t>
  </si>
  <si>
    <t>Schallschutzklasse 4 oder höher</t>
  </si>
  <si>
    <t>Regenwasserzisterne</t>
  </si>
  <si>
    <t>Unterirdische Regenwasserzisterne inkl. Grauwasserinstallation</t>
  </si>
  <si>
    <t>Unterirdische Regenwasserzisterne</t>
  </si>
  <si>
    <t>- Mindestens: 550 Watt Wechselrichterleistung</t>
  </si>
  <si>
    <t>- Fördersatz Fenstertausch (Abhängig von Fenstertyp)</t>
  </si>
  <si>
    <t>Davon Fläche Schallschutzfenster</t>
  </si>
  <si>
    <t>Fenster:</t>
  </si>
  <si>
    <t>pro m² Fensterfläche</t>
  </si>
  <si>
    <t>H</t>
  </si>
  <si>
    <t>Art der Anlage:</t>
  </si>
  <si>
    <t>Wechselrichterleistung:</t>
  </si>
  <si>
    <t>Modulleistung:</t>
  </si>
  <si>
    <t>Das final ausgefüllte Excel-Antragsformular (.xlsx)</t>
  </si>
  <si>
    <t>Nutzbare Speicherkapazität des neuen Batteriespeichers</t>
  </si>
  <si>
    <t>Vereinfachtes Verfahren</t>
  </si>
  <si>
    <t>Bei Fördersummen kleiner gleich:</t>
  </si>
  <si>
    <t>Vereinfachtes Verfahren?</t>
  </si>
  <si>
    <t>Textoptionen Antrag</t>
  </si>
  <si>
    <t xml:space="preserve">Hiermit wird die Förderung durch das Dingolfinger Anreizprogramm Klimaschutzoffensive beantragt. Der Antragsteller bestätigt mit seiner Unterschrift, dass seine Angaben richtig und vollständig sind und dass die Vorgaben aus der Förderrichtlinie nach bestem Wissen und Gewissen erfüllt werden. Weiterhin stimmt der Antragsteller der Datenverarbeitung durch die Stadt Dingolfing zu und hat die Hinweise zu subventionserheblichen Tatsachen zur Kenntnis genommen. </t>
  </si>
  <si>
    <t>pro m²</t>
  </si>
  <si>
    <t>pro Gerät</t>
  </si>
  <si>
    <t>Stromspeicher für PV-Strom</t>
  </si>
  <si>
    <t>Dachbegrünung</t>
  </si>
  <si>
    <t>Extensive oder intensive Dachbegrünung</t>
  </si>
  <si>
    <t>Fläche des neuen Gründachs</t>
  </si>
  <si>
    <t>pro kWh</t>
  </si>
  <si>
    <t>Geplantes Fassungsvolumen der Zisterne:</t>
  </si>
  <si>
    <t>Mindestvolumen für</t>
  </si>
  <si>
    <t>Zisterne in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</si>
</sst>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0.00\ &quot;€&quot;"/>
    <numFmt numFmtId="165" formatCode="0.0"/>
    <numFmt numFmtId="166" formatCode="#,##0.00&quot; €&quot;"/>
    <numFmt numFmtId="167" formatCode="#,##0.0"/>
    <numFmt numFmtId="168" formatCode="#,##0&quot; kWh&quot;"/>
    <numFmt numFmtId="169" formatCode="#,##0.00&quot; € pro m²&quot;"/>
    <numFmt numFmtId="170" formatCode="#,##0.00&quot; € pro kWh&quot;"/>
  </numFmts>
  <fonts count="35" x14ac:knownFonts="1">
    <font>
      <sz val="11"/>
      <color theme="1"/>
      <name val="Calibri"/>
      <family val="2"/>
      <scheme val="minor"/>
    </font>
    <font>
      <b/>
      <sz val="11"/>
      <color theme="1"/>
      <name val="Calibri"/>
      <family val="2"/>
      <scheme val="minor"/>
    </font>
    <font>
      <sz val="9"/>
      <color theme="1"/>
      <name val="Calibri"/>
      <family val="2"/>
      <scheme val="minor"/>
    </font>
    <font>
      <sz val="28"/>
      <color theme="1"/>
      <name val="Times New Roman"/>
      <family val="1"/>
    </font>
    <font>
      <sz val="16"/>
      <color theme="1"/>
      <name val="Calibri"/>
      <family val="2"/>
    </font>
    <font>
      <sz val="8"/>
      <color theme="1"/>
      <name val="Calibri"/>
      <family val="2"/>
      <scheme val="minor"/>
    </font>
    <font>
      <sz val="12"/>
      <color theme="1"/>
      <name val="Times New Roman"/>
      <family val="1"/>
    </font>
    <font>
      <sz val="11"/>
      <color theme="1"/>
      <name val="Calibri"/>
      <family val="2"/>
    </font>
    <font>
      <sz val="11"/>
      <color theme="1"/>
      <name val="Wingdings"/>
      <charset val="2"/>
    </font>
    <font>
      <u/>
      <sz val="11"/>
      <color theme="10"/>
      <name val="Calibri"/>
      <family val="2"/>
      <scheme val="minor"/>
    </font>
    <font>
      <sz val="11"/>
      <color theme="1"/>
      <name val="Calibri"/>
      <family val="2"/>
      <scheme val="minor"/>
    </font>
    <font>
      <b/>
      <u/>
      <sz val="11"/>
      <color theme="1"/>
      <name val="Calibri"/>
      <family val="2"/>
      <scheme val="minor"/>
    </font>
    <font>
      <u/>
      <sz val="14"/>
      <color theme="1"/>
      <name val="Calibri"/>
      <family val="2"/>
      <scheme val="minor"/>
    </font>
    <font>
      <b/>
      <sz val="22"/>
      <color theme="1"/>
      <name val="Calibri"/>
      <family val="2"/>
      <scheme val="minor"/>
    </font>
    <font>
      <b/>
      <sz val="11"/>
      <color rgb="FFC00000"/>
      <name val="Calibri"/>
      <family val="2"/>
      <scheme val="minor"/>
    </font>
    <font>
      <b/>
      <sz val="14"/>
      <color theme="1"/>
      <name val="Calibri"/>
      <family val="2"/>
      <scheme val="minor"/>
    </font>
    <font>
      <sz val="14"/>
      <color theme="1"/>
      <name val="Calibri"/>
      <family val="2"/>
      <scheme val="minor"/>
    </font>
    <font>
      <b/>
      <sz val="11"/>
      <color theme="0" tint="-0.34998626667073579"/>
      <name val="Calibri"/>
      <family val="2"/>
      <scheme val="minor"/>
    </font>
    <font>
      <sz val="11"/>
      <color theme="0" tint="-0.34998626667073579"/>
      <name val="Calibri"/>
      <family val="2"/>
      <scheme val="minor"/>
    </font>
    <font>
      <b/>
      <sz val="18"/>
      <color theme="1"/>
      <name val="Calibri"/>
      <family val="2"/>
      <scheme val="minor"/>
    </font>
    <font>
      <sz val="11"/>
      <color theme="1"/>
      <name val="Webdings"/>
      <family val="1"/>
      <charset val="2"/>
    </font>
    <font>
      <i/>
      <sz val="11"/>
      <color theme="1"/>
      <name val="Calibri"/>
      <family val="2"/>
      <scheme val="minor"/>
    </font>
    <font>
      <b/>
      <sz val="8"/>
      <color theme="1"/>
      <name val="Calibri"/>
      <family val="2"/>
      <scheme val="minor"/>
    </font>
    <font>
      <b/>
      <i/>
      <sz val="11"/>
      <color theme="1"/>
      <name val="Calibri"/>
      <family val="2"/>
      <scheme val="minor"/>
    </font>
    <font>
      <sz val="11"/>
      <color theme="0" tint="-4.9989318521683403E-2"/>
      <name val="Calibri"/>
      <family val="2"/>
      <scheme val="minor"/>
    </font>
    <font>
      <sz val="11"/>
      <color theme="1"/>
      <name val="Wingdings 2"/>
      <family val="1"/>
      <charset val="2"/>
    </font>
    <font>
      <sz val="18"/>
      <color theme="1"/>
      <name val="Wingdings 2"/>
      <family val="1"/>
      <charset val="2"/>
    </font>
    <font>
      <sz val="11"/>
      <name val="Calibri"/>
      <family val="2"/>
      <scheme val="minor"/>
    </font>
    <font>
      <i/>
      <sz val="11"/>
      <name val="Calibri"/>
      <family val="2"/>
      <scheme val="minor"/>
    </font>
    <font>
      <sz val="11"/>
      <color rgb="FFC00000"/>
      <name val="Calibri"/>
      <family val="2"/>
      <scheme val="minor"/>
    </font>
    <font>
      <sz val="11"/>
      <color theme="0" tint="-0.249977111117893"/>
      <name val="Calibri"/>
      <family val="2"/>
      <scheme val="minor"/>
    </font>
    <font>
      <b/>
      <sz val="11"/>
      <name val="Calibri"/>
      <family val="2"/>
      <scheme val="minor"/>
    </font>
    <font>
      <b/>
      <sz val="26"/>
      <color theme="1"/>
      <name val="Calibri"/>
      <family val="2"/>
      <scheme val="minor"/>
    </font>
    <font>
      <b/>
      <u/>
      <sz val="14"/>
      <color theme="1"/>
      <name val="Calibri"/>
      <family val="2"/>
      <scheme val="minor"/>
    </font>
    <font>
      <b/>
      <sz val="14"/>
      <color rgb="FFC00000"/>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1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44" fontId="10" fillId="0" borderId="0" applyFont="0" applyFill="0" applyBorder="0" applyAlignment="0" applyProtection="0"/>
  </cellStyleXfs>
  <cellXfs count="222">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xf numFmtId="0" fontId="5" fillId="0" borderId="0" xfId="0" applyFont="1" applyAlignment="1">
      <alignment horizontal="left" vertical="center"/>
    </xf>
    <xf numFmtId="0" fontId="6"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0" fillId="0" borderId="0" xfId="0" applyFont="1"/>
    <xf numFmtId="0" fontId="0" fillId="0" borderId="0" xfId="0" applyFont="1" applyAlignment="1">
      <alignment horizontal="left" vertical="top"/>
    </xf>
    <xf numFmtId="0" fontId="1" fillId="0" borderId="0" xfId="0" applyFont="1"/>
    <xf numFmtId="0" fontId="0" fillId="0" borderId="0" xfId="0" applyFont="1" applyAlignment="1">
      <alignment horizontal="left" vertical="center"/>
    </xf>
    <xf numFmtId="0" fontId="0" fillId="0" borderId="4" xfId="0" applyFont="1" applyBorder="1"/>
    <xf numFmtId="0" fontId="8" fillId="0" borderId="0" xfId="0" applyFont="1" applyAlignment="1">
      <alignment horizontal="left" vertical="center"/>
    </xf>
    <xf numFmtId="0" fontId="9" fillId="0" borderId="0" xfId="1" applyAlignment="1">
      <alignment horizontal="left" vertical="top"/>
    </xf>
    <xf numFmtId="0" fontId="0" fillId="0" borderId="0" xfId="0" applyAlignment="1">
      <alignment horizontal="left"/>
    </xf>
    <xf numFmtId="0" fontId="1" fillId="4" borderId="5" xfId="0" applyFont="1" applyFill="1" applyBorder="1"/>
    <xf numFmtId="0" fontId="0" fillId="4" borderId="6" xfId="0" applyFill="1" applyBorder="1"/>
    <xf numFmtId="0" fontId="0" fillId="4" borderId="7" xfId="0" applyFill="1" applyBorder="1"/>
    <xf numFmtId="0" fontId="13" fillId="0" borderId="0" xfId="0" applyFont="1"/>
    <xf numFmtId="0" fontId="0" fillId="4" borderId="5" xfId="0" applyFill="1" applyBorder="1"/>
    <xf numFmtId="0" fontId="0" fillId="5" borderId="5" xfId="0" applyFill="1" applyBorder="1"/>
    <xf numFmtId="0" fontId="0" fillId="0" borderId="0" xfId="0" applyBorder="1"/>
    <xf numFmtId="164" fontId="1" fillId="0" borderId="0" xfId="2" applyNumberFormat="1" applyFont="1" applyBorder="1" applyAlignment="1">
      <alignment horizontal="left"/>
    </xf>
    <xf numFmtId="0" fontId="1" fillId="4" borderId="8" xfId="0" applyFont="1" applyFill="1" applyBorder="1"/>
    <xf numFmtId="0" fontId="18" fillId="0" borderId="0" xfId="0" applyFont="1"/>
    <xf numFmtId="0" fontId="1" fillId="4" borderId="12" xfId="0" applyFont="1" applyFill="1" applyBorder="1"/>
    <xf numFmtId="0" fontId="0" fillId="4" borderId="14" xfId="0" applyFill="1" applyBorder="1"/>
    <xf numFmtId="0" fontId="0" fillId="4" borderId="15" xfId="0" applyFill="1" applyBorder="1"/>
    <xf numFmtId="0" fontId="0" fillId="4" borderId="0" xfId="0" applyFill="1" applyBorder="1"/>
    <xf numFmtId="0" fontId="0" fillId="4" borderId="16" xfId="0" applyFill="1" applyBorder="1"/>
    <xf numFmtId="0" fontId="0" fillId="4" borderId="17" xfId="0" applyFill="1" applyBorder="1"/>
    <xf numFmtId="0" fontId="0" fillId="4" borderId="4" xfId="0" applyFill="1" applyBorder="1"/>
    <xf numFmtId="0" fontId="0" fillId="4" borderId="18" xfId="0" applyFill="1" applyBorder="1"/>
    <xf numFmtId="0" fontId="0" fillId="4" borderId="9" xfId="0" applyFill="1" applyBorder="1"/>
    <xf numFmtId="0" fontId="0" fillId="4" borderId="10" xfId="0" applyFill="1" applyBorder="1"/>
    <xf numFmtId="0" fontId="1" fillId="4" borderId="9" xfId="0" applyFont="1" applyFill="1" applyBorder="1"/>
    <xf numFmtId="0" fontId="1" fillId="4" borderId="10" xfId="0" applyFont="1" applyFill="1" applyBorder="1"/>
    <xf numFmtId="0" fontId="1" fillId="4" borderId="11" xfId="0" applyFont="1" applyFill="1" applyBorder="1"/>
    <xf numFmtId="0" fontId="0" fillId="0" borderId="0" xfId="0" quotePrefix="1" applyAlignment="1">
      <alignment horizontal="right"/>
    </xf>
    <xf numFmtId="0" fontId="1" fillId="0" borderId="0" xfId="0" applyFont="1" applyAlignment="1">
      <alignment horizontal="left" vertical="center"/>
    </xf>
    <xf numFmtId="0" fontId="2" fillId="0" borderId="0" xfId="0" applyFont="1" applyAlignment="1">
      <alignment horizontal="left"/>
    </xf>
    <xf numFmtId="0" fontId="1" fillId="4" borderId="13" xfId="0" applyFont="1" applyFill="1" applyBorder="1"/>
    <xf numFmtId="0" fontId="1" fillId="4" borderId="14" xfId="0" applyFont="1" applyFill="1" applyBorder="1"/>
    <xf numFmtId="0" fontId="0" fillId="4" borderId="0" xfId="0" applyFont="1" applyFill="1" applyBorder="1"/>
    <xf numFmtId="0" fontId="18" fillId="4" borderId="0" xfId="0" applyFont="1" applyFill="1" applyBorder="1" applyAlignment="1">
      <alignment horizontal="right"/>
    </xf>
    <xf numFmtId="0" fontId="1" fillId="4" borderId="0" xfId="0" applyFont="1" applyFill="1" applyBorder="1"/>
    <xf numFmtId="0" fontId="0" fillId="4" borderId="0" xfId="0" applyFill="1" applyBorder="1" applyAlignment="1">
      <alignment horizontal="right"/>
    </xf>
    <xf numFmtId="0" fontId="0" fillId="4" borderId="16" xfId="0" applyFill="1" applyBorder="1" applyAlignment="1">
      <alignment horizontal="left"/>
    </xf>
    <xf numFmtId="0" fontId="0" fillId="4" borderId="4" xfId="0" applyFill="1" applyBorder="1" applyAlignment="1">
      <alignment horizontal="right"/>
    </xf>
    <xf numFmtId="0" fontId="0" fillId="4" borderId="4" xfId="0" applyFont="1" applyFill="1" applyBorder="1"/>
    <xf numFmtId="0" fontId="18" fillId="4" borderId="4" xfId="0" applyFont="1" applyFill="1" applyBorder="1" applyAlignment="1">
      <alignment horizontal="right"/>
    </xf>
    <xf numFmtId="3" fontId="0" fillId="4" borderId="18" xfId="0" applyNumberFormat="1" applyFill="1" applyBorder="1"/>
    <xf numFmtId="0" fontId="17" fillId="4" borderId="10" xfId="0" applyFont="1" applyFill="1" applyBorder="1"/>
    <xf numFmtId="0" fontId="1" fillId="4" borderId="6" xfId="0" applyFont="1" applyFill="1" applyBorder="1"/>
    <xf numFmtId="0" fontId="1" fillId="4" borderId="7" xfId="0" applyFont="1" applyFill="1" applyBorder="1"/>
    <xf numFmtId="0" fontId="0" fillId="4" borderId="18" xfId="0" applyFill="1" applyBorder="1" applyAlignment="1">
      <alignment horizontal="left"/>
    </xf>
    <xf numFmtId="0" fontId="19" fillId="0" borderId="0" xfId="0" applyFont="1"/>
    <xf numFmtId="0" fontId="11" fillId="5" borderId="0" xfId="0" applyFont="1" applyFill="1" applyBorder="1"/>
    <xf numFmtId="0" fontId="0" fillId="5" borderId="0" xfId="0" applyFill="1" applyBorder="1"/>
    <xf numFmtId="0" fontId="0" fillId="5" borderId="0" xfId="0" applyFill="1" applyBorder="1" applyAlignment="1"/>
    <xf numFmtId="0" fontId="0" fillId="5" borderId="16" xfId="0" applyFill="1" applyBorder="1"/>
    <xf numFmtId="0" fontId="0" fillId="4" borderId="16" xfId="0" applyFill="1" applyBorder="1" applyAlignment="1">
      <alignment horizontal="right"/>
    </xf>
    <xf numFmtId="0" fontId="0" fillId="5" borderId="4" xfId="0" applyFill="1" applyBorder="1" applyAlignment="1"/>
    <xf numFmtId="0" fontId="0" fillId="5" borderId="4" xfId="0" applyFill="1" applyBorder="1"/>
    <xf numFmtId="0" fontId="0" fillId="5" borderId="18" xfId="0" applyFill="1" applyBorder="1"/>
    <xf numFmtId="0" fontId="0" fillId="0" borderId="0" xfId="0" applyFont="1" applyAlignment="1">
      <alignment horizontal="left"/>
    </xf>
    <xf numFmtId="0" fontId="0" fillId="0" borderId="0" xfId="0" applyFont="1" applyAlignment="1">
      <alignment horizontal="left" vertical="center" wrapText="1"/>
    </xf>
    <xf numFmtId="0" fontId="14" fillId="0" borderId="0" xfId="0" applyFont="1" applyAlignment="1">
      <alignment horizontal="left" vertical="top"/>
    </xf>
    <xf numFmtId="0" fontId="17" fillId="4" borderId="13" xfId="0" applyFont="1" applyFill="1" applyBorder="1" applyAlignment="1">
      <alignment horizontal="right"/>
    </xf>
    <xf numFmtId="0" fontId="0" fillId="4" borderId="8" xfId="0" applyFill="1" applyBorder="1"/>
    <xf numFmtId="0" fontId="0" fillId="0" borderId="0" xfId="0" applyFont="1" applyAlignment="1">
      <alignment vertical="center"/>
    </xf>
    <xf numFmtId="0" fontId="14" fillId="0" borderId="0" xfId="0" applyFont="1"/>
    <xf numFmtId="0" fontId="20" fillId="0" borderId="0" xfId="0" applyFont="1" applyAlignment="1">
      <alignment horizontal="right" vertical="center"/>
    </xf>
    <xf numFmtId="0" fontId="6" fillId="0" borderId="0" xfId="0" applyFont="1" applyAlignment="1">
      <alignment horizontal="left" vertical="center"/>
    </xf>
    <xf numFmtId="0" fontId="8" fillId="0" borderId="4" xfId="0" applyFont="1" applyBorder="1" applyAlignment="1">
      <alignment horizontal="left"/>
    </xf>
    <xf numFmtId="0" fontId="11" fillId="6" borderId="15" xfId="0" applyFont="1" applyFill="1" applyBorder="1"/>
    <xf numFmtId="0" fontId="0" fillId="6" borderId="15" xfId="0" applyFill="1" applyBorder="1"/>
    <xf numFmtId="0" fontId="0" fillId="6" borderId="16" xfId="0" applyFill="1" applyBorder="1"/>
    <xf numFmtId="0" fontId="0" fillId="6" borderId="6" xfId="0" applyFill="1" applyBorder="1"/>
    <xf numFmtId="0" fontId="0" fillId="6" borderId="15" xfId="0" applyFill="1" applyBorder="1" applyAlignment="1"/>
    <xf numFmtId="166" fontId="0" fillId="6" borderId="15" xfId="0" applyNumberFormat="1" applyFill="1" applyBorder="1"/>
    <xf numFmtId="0" fontId="0" fillId="6" borderId="17" xfId="0" applyFill="1" applyBorder="1" applyAlignment="1"/>
    <xf numFmtId="166" fontId="0" fillId="6" borderId="17" xfId="0" applyNumberFormat="1" applyFill="1" applyBorder="1"/>
    <xf numFmtId="0" fontId="0" fillId="6" borderId="18" xfId="0" applyFill="1" applyBorder="1"/>
    <xf numFmtId="0" fontId="0" fillId="6" borderId="15" xfId="0" quotePrefix="1" applyFill="1" applyBorder="1"/>
    <xf numFmtId="0" fontId="0" fillId="6" borderId="6" xfId="0" applyFill="1" applyBorder="1" applyAlignment="1">
      <alignment horizontal="center"/>
    </xf>
    <xf numFmtId="166" fontId="0" fillId="6" borderId="6" xfId="0" applyNumberFormat="1" applyFill="1" applyBorder="1" applyAlignment="1">
      <alignment horizontal="center"/>
    </xf>
    <xf numFmtId="166" fontId="0" fillId="6" borderId="7" xfId="0" applyNumberFormat="1" applyFill="1" applyBorder="1" applyAlignment="1">
      <alignment horizontal="center"/>
    </xf>
    <xf numFmtId="0" fontId="1" fillId="4" borderId="9" xfId="0" applyFont="1" applyFill="1" applyBorder="1" applyAlignment="1">
      <alignment vertical="center" wrapText="1"/>
    </xf>
    <xf numFmtId="0" fontId="1" fillId="4" borderId="5" xfId="0" applyFont="1" applyFill="1" applyBorder="1" applyAlignment="1">
      <alignment horizontal="center" vertical="center" wrapText="1"/>
    </xf>
    <xf numFmtId="0" fontId="1" fillId="0" borderId="0" xfId="2" applyNumberFormat="1" applyFont="1" applyBorder="1" applyAlignment="1">
      <alignment horizontal="left"/>
    </xf>
    <xf numFmtId="14" fontId="5" fillId="4" borderId="0" xfId="0" applyNumberFormat="1" applyFont="1" applyFill="1" applyBorder="1" applyAlignment="1">
      <alignment horizontal="left" vertical="center"/>
    </xf>
    <xf numFmtId="0" fontId="5" fillId="4" borderId="0" xfId="0" applyFont="1" applyFill="1" applyBorder="1" applyAlignment="1">
      <alignment horizontal="left" vertical="center"/>
    </xf>
    <xf numFmtId="0" fontId="22" fillId="4"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16" fillId="7" borderId="5" xfId="0" applyFont="1" applyFill="1" applyBorder="1" applyAlignment="1" applyProtection="1">
      <alignment vertical="center"/>
      <protection locked="0"/>
    </xf>
    <xf numFmtId="0" fontId="15" fillId="4" borderId="9" xfId="0" applyFont="1" applyFill="1" applyBorder="1" applyAlignment="1">
      <alignment vertical="center"/>
    </xf>
    <xf numFmtId="0" fontId="0" fillId="4" borderId="10" xfId="0" applyFill="1" applyBorder="1" applyAlignment="1">
      <alignment vertical="center"/>
    </xf>
    <xf numFmtId="0" fontId="12" fillId="4" borderId="12" xfId="0" applyFont="1" applyFill="1" applyBorder="1"/>
    <xf numFmtId="0" fontId="0" fillId="4" borderId="13" xfId="0" applyFill="1" applyBorder="1"/>
    <xf numFmtId="0" fontId="1" fillId="4" borderId="13" xfId="0" applyFont="1" applyFill="1" applyBorder="1" applyAlignment="1">
      <alignment horizontal="right"/>
    </xf>
    <xf numFmtId="0" fontId="1" fillId="4" borderId="0" xfId="0" applyFont="1" applyFill="1" applyBorder="1" applyAlignment="1">
      <alignment horizontal="right"/>
    </xf>
    <xf numFmtId="164" fontId="1" fillId="4" borderId="0" xfId="2" applyNumberFormat="1" applyFont="1" applyFill="1" applyBorder="1" applyAlignment="1">
      <alignment horizontal="left"/>
    </xf>
    <xf numFmtId="166" fontId="0" fillId="4" borderId="0" xfId="0" applyNumberFormat="1" applyFill="1" applyBorder="1" applyAlignment="1">
      <alignment horizontal="left"/>
    </xf>
    <xf numFmtId="0" fontId="0" fillId="4" borderId="0" xfId="0" quotePrefix="1" applyFill="1" applyBorder="1"/>
    <xf numFmtId="0" fontId="1" fillId="4" borderId="16" xfId="0" applyFont="1" applyFill="1" applyBorder="1"/>
    <xf numFmtId="164" fontId="10" fillId="4" borderId="0" xfId="2" applyNumberFormat="1" applyFont="1" applyFill="1" applyBorder="1" applyAlignment="1">
      <alignment horizontal="left"/>
    </xf>
    <xf numFmtId="0" fontId="21" fillId="4" borderId="0" xfId="0" applyFont="1" applyFill="1" applyBorder="1"/>
    <xf numFmtId="0" fontId="21" fillId="4" borderId="0" xfId="0" quotePrefix="1" applyFont="1" applyFill="1" applyBorder="1" applyAlignment="1">
      <alignment vertical="top"/>
    </xf>
    <xf numFmtId="0" fontId="12" fillId="4" borderId="15" xfId="0" applyFont="1" applyFill="1" applyBorder="1"/>
    <xf numFmtId="0" fontId="1" fillId="4" borderId="15" xfId="0" applyFont="1" applyFill="1" applyBorder="1"/>
    <xf numFmtId="0" fontId="21" fillId="4" borderId="0" xfId="0" quotePrefix="1" applyFont="1" applyFill="1" applyBorder="1"/>
    <xf numFmtId="166" fontId="21" fillId="4" borderId="0" xfId="0" applyNumberFormat="1" applyFont="1" applyFill="1" applyBorder="1" applyAlignment="1">
      <alignment horizontal="left"/>
    </xf>
    <xf numFmtId="0" fontId="21" fillId="4" borderId="16" xfId="0" applyFont="1" applyFill="1" applyBorder="1"/>
    <xf numFmtId="0" fontId="24" fillId="4" borderId="4" xfId="0" applyFont="1" applyFill="1" applyBorder="1"/>
    <xf numFmtId="2" fontId="24" fillId="4" borderId="4" xfId="2" applyNumberFormat="1" applyFont="1" applyFill="1" applyBorder="1" applyAlignment="1">
      <alignment horizontal="left"/>
    </xf>
    <xf numFmtId="0" fontId="24" fillId="4" borderId="18" xfId="0" applyFont="1" applyFill="1" applyBorder="1"/>
    <xf numFmtId="0" fontId="0" fillId="3" borderId="0" xfId="0" applyFont="1" applyFill="1" applyAlignment="1">
      <alignment vertical="center"/>
    </xf>
    <xf numFmtId="0" fontId="0" fillId="4" borderId="0" xfId="0" applyFill="1" applyBorder="1" applyAlignment="1">
      <alignment wrapText="1"/>
    </xf>
    <xf numFmtId="0" fontId="0" fillId="0" borderId="0" xfId="0" applyFont="1" applyAlignment="1">
      <alignment vertical="top"/>
    </xf>
    <xf numFmtId="0" fontId="1" fillId="4" borderId="17" xfId="0" applyFont="1" applyFill="1" applyBorder="1"/>
    <xf numFmtId="0" fontId="1" fillId="8" borderId="12" xfId="0" applyFont="1" applyFill="1" applyBorder="1"/>
    <xf numFmtId="0" fontId="1" fillId="8" borderId="13" xfId="0" applyFont="1" applyFill="1" applyBorder="1"/>
    <xf numFmtId="0" fontId="1" fillId="8" borderId="14" xfId="0" applyFont="1" applyFill="1" applyBorder="1"/>
    <xf numFmtId="0" fontId="25" fillId="0" borderId="0" xfId="0" applyFont="1"/>
    <xf numFmtId="0" fontId="25" fillId="0" borderId="0" xfId="0" applyFont="1" applyAlignment="1">
      <alignment horizontal="right" vertical="center"/>
    </xf>
    <xf numFmtId="0" fontId="25" fillId="0" borderId="0" xfId="0" applyFont="1" applyAlignment="1">
      <alignment horizontal="right" vertical="top"/>
    </xf>
    <xf numFmtId="0" fontId="26" fillId="0" borderId="0" xfId="0" applyFont="1" applyAlignment="1">
      <alignment horizontal="right" vertical="center"/>
    </xf>
    <xf numFmtId="0" fontId="27" fillId="4" borderId="16" xfId="0" applyFont="1" applyFill="1" applyBorder="1"/>
    <xf numFmtId="0" fontId="27" fillId="4" borderId="16" xfId="0" applyFont="1" applyFill="1" applyBorder="1" applyAlignment="1">
      <alignment horizontal="left" vertical="top"/>
    </xf>
    <xf numFmtId="164" fontId="10" fillId="0" borderId="0" xfId="2" applyNumberFormat="1" applyFont="1" applyBorder="1" applyAlignment="1">
      <alignment horizontal="left"/>
    </xf>
    <xf numFmtId="164" fontId="24" fillId="4" borderId="0" xfId="2" applyNumberFormat="1" applyFont="1" applyFill="1" applyBorder="1" applyAlignment="1">
      <alignment horizontal="left"/>
    </xf>
    <xf numFmtId="0" fontId="24" fillId="4" borderId="0" xfId="0" applyFont="1" applyFill="1" applyBorder="1"/>
    <xf numFmtId="0" fontId="24" fillId="4" borderId="16" xfId="0" applyFont="1" applyFill="1" applyBorder="1"/>
    <xf numFmtId="0" fontId="30" fillId="4" borderId="4" xfId="0" applyFont="1" applyFill="1" applyBorder="1"/>
    <xf numFmtId="164" fontId="30" fillId="4" borderId="4" xfId="2" applyNumberFormat="1" applyFont="1" applyFill="1" applyBorder="1" applyAlignment="1">
      <alignment horizontal="left"/>
    </xf>
    <xf numFmtId="0" fontId="31" fillId="4" borderId="0" xfId="0" quotePrefix="1" applyFont="1" applyFill="1" applyBorder="1"/>
    <xf numFmtId="2" fontId="24" fillId="4" borderId="18" xfId="2" applyNumberFormat="1" applyFont="1" applyFill="1" applyBorder="1" applyAlignment="1">
      <alignment horizontal="left"/>
    </xf>
    <xf numFmtId="0" fontId="0" fillId="4" borderId="13" xfId="0" applyFill="1" applyBorder="1" applyAlignment="1">
      <alignment horizontal="right"/>
    </xf>
    <xf numFmtId="0" fontId="0" fillId="9" borderId="9" xfId="0" applyFill="1" applyBorder="1"/>
    <xf numFmtId="0" fontId="0" fillId="9" borderId="10" xfId="0" applyFill="1" applyBorder="1"/>
    <xf numFmtId="0" fontId="0" fillId="9" borderId="11" xfId="0" applyFill="1" applyBorder="1"/>
    <xf numFmtId="0" fontId="29" fillId="4" borderId="16" xfId="0" applyFont="1" applyFill="1" applyBorder="1"/>
    <xf numFmtId="0" fontId="14" fillId="4" borderId="0" xfId="0" applyFont="1" applyFill="1" applyBorder="1" applyAlignment="1">
      <alignment horizontal="left"/>
    </xf>
    <xf numFmtId="0" fontId="15" fillId="4" borderId="12" xfId="0" applyFont="1" applyFill="1" applyBorder="1"/>
    <xf numFmtId="0" fontId="28" fillId="4" borderId="4" xfId="0" applyFont="1" applyFill="1" applyBorder="1" applyAlignment="1">
      <alignment vertical="top"/>
    </xf>
    <xf numFmtId="0" fontId="32" fillId="7" borderId="5" xfId="0" applyFont="1" applyFill="1" applyBorder="1" applyAlignment="1">
      <alignment horizontal="center" vertical="center"/>
    </xf>
    <xf numFmtId="164" fontId="24" fillId="4" borderId="0" xfId="0" applyNumberFormat="1" applyFont="1" applyFill="1" applyBorder="1" applyAlignment="1">
      <alignment horizontal="left"/>
    </xf>
    <xf numFmtId="0" fontId="0" fillId="10" borderId="0" xfId="0" applyFill="1" applyBorder="1"/>
    <xf numFmtId="0" fontId="0" fillId="10" borderId="0" xfId="0" applyFont="1" applyFill="1" applyBorder="1"/>
    <xf numFmtId="2" fontId="10" fillId="10" borderId="0" xfId="2" applyNumberFormat="1" applyFont="1" applyFill="1" applyBorder="1" applyAlignment="1">
      <alignment horizontal="left"/>
    </xf>
    <xf numFmtId="0" fontId="0" fillId="10" borderId="16" xfId="0" applyFill="1" applyBorder="1"/>
    <xf numFmtId="0" fontId="33" fillId="4" borderId="13" xfId="0" applyFont="1" applyFill="1" applyBorder="1"/>
    <xf numFmtId="0" fontId="0" fillId="4" borderId="11" xfId="0" applyFill="1" applyBorder="1"/>
    <xf numFmtId="1" fontId="0" fillId="4" borderId="18" xfId="0" applyNumberFormat="1" applyFill="1" applyBorder="1" applyAlignment="1">
      <alignment horizontal="left"/>
    </xf>
    <xf numFmtId="0" fontId="1" fillId="0" borderId="0" xfId="0" applyFont="1" applyAlignment="1">
      <alignment horizontal="left"/>
    </xf>
    <xf numFmtId="0" fontId="0" fillId="3" borderId="0" xfId="0" applyFont="1" applyFill="1" applyAlignment="1">
      <alignment horizontal="left" vertical="center"/>
    </xf>
    <xf numFmtId="0" fontId="6" fillId="0" borderId="0" xfId="0" applyFont="1" applyAlignment="1">
      <alignment horizontal="left"/>
    </xf>
    <xf numFmtId="165" fontId="0" fillId="11" borderId="5" xfId="0" applyNumberFormat="1" applyFill="1" applyBorder="1" applyAlignment="1" applyProtection="1">
      <alignment horizontal="left"/>
      <protection locked="0"/>
    </xf>
    <xf numFmtId="1" fontId="0" fillId="11" borderId="5" xfId="0" applyNumberFormat="1" applyFill="1" applyBorder="1" applyAlignment="1" applyProtection="1">
      <alignment horizontal="left"/>
      <protection locked="0"/>
    </xf>
    <xf numFmtId="0" fontId="0" fillId="11" borderId="5" xfId="0" applyFill="1" applyBorder="1" applyProtection="1">
      <protection locked="0"/>
    </xf>
    <xf numFmtId="0" fontId="0" fillId="11" borderId="5" xfId="0" applyFill="1" applyBorder="1" applyAlignment="1" applyProtection="1">
      <alignment horizontal="left"/>
      <protection locked="0"/>
    </xf>
    <xf numFmtId="167" fontId="0" fillId="11" borderId="5" xfId="0" applyNumberFormat="1" applyFill="1" applyBorder="1" applyAlignment="1" applyProtection="1">
      <alignment horizontal="left"/>
      <protection locked="0"/>
    </xf>
    <xf numFmtId="0" fontId="0" fillId="11" borderId="5" xfId="0" applyFont="1" applyFill="1" applyBorder="1" applyAlignment="1" applyProtection="1">
      <alignment vertical="center"/>
      <protection locked="0"/>
    </xf>
    <xf numFmtId="164" fontId="0" fillId="11" borderId="5" xfId="0" applyNumberFormat="1" applyFont="1" applyFill="1" applyBorder="1" applyAlignment="1" applyProtection="1">
      <alignment horizontal="left" vertical="center"/>
      <protection locked="0"/>
    </xf>
    <xf numFmtId="14" fontId="0" fillId="11" borderId="5" xfId="0" applyNumberFormat="1" applyFill="1" applyBorder="1" applyAlignment="1" applyProtection="1">
      <alignment horizontal="left"/>
      <protection locked="0"/>
    </xf>
    <xf numFmtId="0" fontId="23" fillId="4" borderId="0" xfId="0" quotePrefix="1" applyFont="1" applyFill="1" applyBorder="1" applyAlignment="1">
      <alignment vertical="top"/>
    </xf>
    <xf numFmtId="49" fontId="0" fillId="11" borderId="5" xfId="0" applyNumberFormat="1" applyFill="1" applyBorder="1" applyAlignment="1" applyProtection="1">
      <alignment horizontal="left"/>
      <protection locked="0"/>
    </xf>
    <xf numFmtId="0" fontId="0" fillId="4" borderId="0" xfId="0" applyFill="1" applyBorder="1" applyAlignment="1">
      <alignment horizontal="left"/>
    </xf>
    <xf numFmtId="0" fontId="0" fillId="4" borderId="4" xfId="0" applyFill="1" applyBorder="1" applyAlignment="1">
      <alignment horizontal="left"/>
    </xf>
    <xf numFmtId="0" fontId="0" fillId="0" borderId="0" xfId="0" applyBorder="1" applyAlignment="1">
      <alignment horizontal="left"/>
    </xf>
    <xf numFmtId="0" fontId="0" fillId="4" borderId="13" xfId="0" applyFill="1" applyBorder="1" applyAlignment="1">
      <alignment horizontal="left"/>
    </xf>
    <xf numFmtId="0" fontId="33" fillId="4" borderId="0" xfId="0" applyFont="1" applyFill="1" applyBorder="1"/>
    <xf numFmtId="3" fontId="0" fillId="4" borderId="0" xfId="0" applyNumberFormat="1" applyFill="1" applyBorder="1" applyAlignment="1">
      <alignment horizontal="left"/>
    </xf>
    <xf numFmtId="168" fontId="0" fillId="4" borderId="0" xfId="0" applyNumberFormat="1" applyFill="1" applyBorder="1" applyAlignment="1">
      <alignment horizontal="left"/>
    </xf>
    <xf numFmtId="0" fontId="0" fillId="4" borderId="0" xfId="0" applyFont="1" applyFill="1" applyBorder="1" applyAlignment="1">
      <alignment horizontal="left"/>
    </xf>
    <xf numFmtId="0" fontId="7" fillId="4" borderId="0" xfId="0" applyFont="1" applyFill="1" applyBorder="1"/>
    <xf numFmtId="169" fontId="21" fillId="4" borderId="0" xfId="0" applyNumberFormat="1" applyFont="1" applyFill="1" applyBorder="1" applyAlignment="1">
      <alignment horizontal="left"/>
    </xf>
    <xf numFmtId="170" fontId="0" fillId="4" borderId="0" xfId="0" applyNumberFormat="1" applyFill="1" applyBorder="1" applyAlignment="1">
      <alignment horizontal="left"/>
    </xf>
    <xf numFmtId="0" fontId="9" fillId="11" borderId="5" xfId="1" applyFill="1" applyBorder="1" applyAlignment="1" applyProtection="1">
      <alignment horizontal="left"/>
      <protection locked="0"/>
    </xf>
    <xf numFmtId="0" fontId="17" fillId="4" borderId="0" xfId="0" applyFont="1" applyFill="1" applyBorder="1" applyAlignment="1">
      <alignment horizontal="right"/>
    </xf>
    <xf numFmtId="0" fontId="34" fillId="0" borderId="0" xfId="0" applyFont="1" applyAlignment="1">
      <alignment horizontal="left"/>
    </xf>
    <xf numFmtId="0" fontId="0" fillId="5" borderId="0" xfId="0" applyFill="1" applyBorder="1" applyAlignment="1">
      <alignment horizontal="right"/>
    </xf>
    <xf numFmtId="44" fontId="0" fillId="5" borderId="5" xfId="2" applyFont="1" applyFill="1" applyBorder="1"/>
    <xf numFmtId="0" fontId="1" fillId="4" borderId="8" xfId="0" applyFont="1" applyFill="1" applyBorder="1" applyAlignment="1">
      <alignment horizontal="left"/>
    </xf>
    <xf numFmtId="0" fontId="0" fillId="4" borderId="7" xfId="0" applyFill="1" applyBorder="1" applyAlignment="1">
      <alignment horizontal="left"/>
    </xf>
    <xf numFmtId="0" fontId="0" fillId="5" borderId="5" xfId="0" applyFill="1" applyBorder="1" applyAlignment="1">
      <alignment horizontal="right"/>
    </xf>
    <xf numFmtId="3" fontId="0" fillId="11" borderId="5" xfId="0" applyNumberFormat="1" applyFill="1" applyBorder="1" applyAlignment="1" applyProtection="1">
      <alignment horizontal="left"/>
      <protection locked="0"/>
    </xf>
    <xf numFmtId="0" fontId="0" fillId="10" borderId="9" xfId="0" applyFill="1" applyBorder="1"/>
    <xf numFmtId="0" fontId="0" fillId="10" borderId="10" xfId="0" applyFill="1" applyBorder="1"/>
    <xf numFmtId="0" fontId="0" fillId="10" borderId="11" xfId="0" applyFill="1" applyBorder="1"/>
    <xf numFmtId="0" fontId="0" fillId="4" borderId="0" xfId="0" applyFill="1" applyBorder="1" applyAlignment="1">
      <alignment vertical="top"/>
    </xf>
    <xf numFmtId="0" fontId="1" fillId="4" borderId="0" xfId="0" applyFont="1" applyFill="1" applyBorder="1" applyAlignment="1">
      <alignment vertical="top"/>
    </xf>
    <xf numFmtId="164" fontId="1" fillId="4" borderId="0" xfId="2" applyNumberFormat="1" applyFont="1" applyFill="1" applyBorder="1" applyAlignment="1">
      <alignment horizontal="left" vertical="top"/>
    </xf>
    <xf numFmtId="0" fontId="0" fillId="4" borderId="16" xfId="0" applyFill="1" applyBorder="1" applyAlignment="1">
      <alignment vertical="top"/>
    </xf>
    <xf numFmtId="0" fontId="2" fillId="0" borderId="0" xfId="0" applyFont="1" applyAlignment="1">
      <alignment horizontal="justify" vertical="top" wrapText="1"/>
    </xf>
    <xf numFmtId="0" fontId="0" fillId="3" borderId="0" xfId="0" applyFont="1" applyFill="1" applyAlignment="1">
      <alignment horizontal="left" vertical="center"/>
    </xf>
    <xf numFmtId="0" fontId="0" fillId="4" borderId="0" xfId="0" applyFont="1" applyFill="1" applyAlignment="1">
      <alignment horizontal="left" vertical="center"/>
    </xf>
    <xf numFmtId="0" fontId="0" fillId="3" borderId="0" xfId="0" applyNumberFormat="1"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justify" vertical="center" wrapText="1"/>
    </xf>
    <xf numFmtId="49" fontId="0" fillId="3" borderId="0" xfId="0" applyNumberFormat="1" applyFont="1" applyFill="1" applyAlignment="1">
      <alignment horizontal="left" vertical="center"/>
    </xf>
    <xf numFmtId="14" fontId="0" fillId="3" borderId="0" xfId="0" applyNumberFormat="1" applyFont="1" applyFill="1" applyAlignment="1">
      <alignment horizontal="left" vertical="center"/>
    </xf>
    <xf numFmtId="0" fontId="0" fillId="0" borderId="0" xfId="0" applyFont="1" applyAlignment="1">
      <alignment horizontal="justify"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0" borderId="0" xfId="0" applyFont="1" applyAlignment="1">
      <alignment horizontal="left" vertical="top" wrapText="1"/>
    </xf>
    <xf numFmtId="0" fontId="32" fillId="7" borderId="8"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7" xfId="0" applyFont="1" applyFill="1" applyBorder="1" applyAlignment="1">
      <alignment horizontal="center" vertical="center"/>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2" fillId="7" borderId="8" xfId="0" applyFont="1" applyFill="1" applyBorder="1" applyAlignment="1">
      <alignment horizontal="center" vertical="top" wrapText="1"/>
    </xf>
    <xf numFmtId="0" fontId="32" fillId="7" borderId="6" xfId="0" applyFont="1" applyFill="1" applyBorder="1" applyAlignment="1">
      <alignment horizontal="center" vertical="top"/>
    </xf>
    <xf numFmtId="0" fontId="32" fillId="7" borderId="7" xfId="0" applyFont="1" applyFill="1" applyBorder="1" applyAlignment="1">
      <alignment horizontal="center" vertical="top"/>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cellXfs>
  <cellStyles count="3">
    <cellStyle name="Link" xfId="1" builtinId="8"/>
    <cellStyle name="Standard" xfId="0" builtinId="0"/>
    <cellStyle name="Währung" xfId="2" builtinId="4"/>
  </cellStyles>
  <dxfs count="14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dxf>
    <dxf>
      <font>
        <b/>
        <i val="0"/>
        <color theme="9" tint="-0.24994659260841701"/>
      </font>
    </dxf>
    <dxf>
      <font>
        <b/>
        <i val="0"/>
        <color rgb="FFC00000"/>
      </font>
    </dxf>
    <dxf>
      <font>
        <b/>
        <i val="0"/>
        <color theme="9" tint="-0.24994659260841701"/>
      </font>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ill>
        <patternFill>
          <bgColor theme="9" tint="0.79998168889431442"/>
        </patternFill>
      </fill>
    </dxf>
    <dxf>
      <fill>
        <patternFill>
          <bgColor theme="9" tint="0.7999816888943144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ill>
        <patternFill>
          <bgColor rgb="FFFFFF00"/>
        </patternFill>
      </fill>
    </dxf>
    <dxf>
      <fill>
        <patternFill>
          <bgColor theme="9" tint="0.7999816888943144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C00000"/>
      </font>
      <fill>
        <patternFill>
          <bgColor rgb="FFFFFF00"/>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759044</xdr:colOff>
      <xdr:row>2</xdr:row>
      <xdr:rowOff>37541</xdr:rowOff>
    </xdr:from>
    <xdr:to>
      <xdr:col>8</xdr:col>
      <xdr:colOff>701258</xdr:colOff>
      <xdr:row>8</xdr:row>
      <xdr:rowOff>180415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5515" y="609041"/>
          <a:ext cx="782655" cy="1285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125"/>
  <sheetViews>
    <sheetView showGridLines="0" view="pageLayout" zoomScale="85" zoomScaleNormal="100" zoomScalePageLayoutView="85" workbookViewId="0">
      <selection activeCell="H15" sqref="H15"/>
    </sheetView>
  </sheetViews>
  <sheetFormatPr baseColWidth="10" defaultColWidth="9.140625" defaultRowHeight="15" x14ac:dyDescent="0.25"/>
  <cols>
    <col min="1" max="1" width="9" customWidth="1"/>
    <col min="2" max="3" width="9.28515625" customWidth="1"/>
    <col min="4" max="4" width="11.5703125" customWidth="1"/>
    <col min="5" max="5" width="7.42578125" customWidth="1"/>
    <col min="6" max="7" width="9.28515625" customWidth="1"/>
    <col min="8" max="8" width="11.7109375" customWidth="1"/>
    <col min="9" max="9" width="10.5703125" customWidth="1"/>
  </cols>
  <sheetData>
    <row r="1" spans="1:9" ht="30" customHeight="1" x14ac:dyDescent="0.25">
      <c r="A1" s="9"/>
      <c r="B1" s="9"/>
      <c r="C1" s="9"/>
      <c r="D1" s="9"/>
      <c r="E1" s="9"/>
      <c r="F1" s="9"/>
      <c r="G1" s="9"/>
      <c r="H1" s="9"/>
      <c r="I1" s="9"/>
    </row>
    <row r="2" spans="1:9" x14ac:dyDescent="0.25">
      <c r="A2" s="207" t="str">
        <f>Antragsdaten!E110&amp;" "&amp;Antragsdaten!E111&amp;" "&amp;Antragsdaten!E112</f>
        <v xml:space="preserve">  </v>
      </c>
      <c r="B2" s="208"/>
      <c r="C2" s="209"/>
    </row>
    <row r="3" spans="1:9" x14ac:dyDescent="0.25">
      <c r="A3" s="207" t="str">
        <f>Antragsdaten!E113&amp;" "&amp;Antragsdaten!E114</f>
        <v xml:space="preserve"> </v>
      </c>
      <c r="B3" s="208"/>
      <c r="C3" s="209"/>
      <c r="E3" s="9"/>
    </row>
    <row r="4" spans="1:9" x14ac:dyDescent="0.25">
      <c r="A4" s="207" t="str">
        <f>Antragsdaten!E115&amp;" "&amp;Antragsdaten!E116</f>
        <v xml:space="preserve"> </v>
      </c>
      <c r="B4" s="208"/>
      <c r="C4" s="209"/>
      <c r="E4" s="10"/>
    </row>
    <row r="5" spans="1:9" x14ac:dyDescent="0.25">
      <c r="A5" s="5" t="s">
        <v>5</v>
      </c>
    </row>
    <row r="7" spans="1:9" x14ac:dyDescent="0.25">
      <c r="A7" s="1" t="s">
        <v>0</v>
      </c>
    </row>
    <row r="8" spans="1:9" x14ac:dyDescent="0.25">
      <c r="A8" s="1" t="s">
        <v>1</v>
      </c>
    </row>
    <row r="9" spans="1:9" x14ac:dyDescent="0.25">
      <c r="A9" s="1" t="s">
        <v>2</v>
      </c>
    </row>
    <row r="10" spans="1:9" x14ac:dyDescent="0.25">
      <c r="A10" s="1" t="s">
        <v>3</v>
      </c>
      <c r="D10" s="69" t="str">
        <f>IF(Hintergrunddaten!C124&lt;&gt;"OK"=TRUE(),"Achtung: Fehlende oder nicht passende Angaben zum Antragsteller!","")</f>
        <v>Achtung: Fehlende oder nicht passende Angaben zum Antragsteller!</v>
      </c>
    </row>
    <row r="11" spans="1:9" ht="11.25" customHeight="1" x14ac:dyDescent="0.25">
      <c r="A11" s="4"/>
      <c r="D11" s="73" t="str">
        <f>IF(Hintergrunddaten!C128&lt;&gt;"OK"=TRUE(),"Achtung: Fehlende Angaben zum Fachbetrieb/Sachverständigen!","")</f>
        <v/>
      </c>
    </row>
    <row r="12" spans="1:9" ht="35.25" x14ac:dyDescent="0.25">
      <c r="A12" s="2" t="s">
        <v>4</v>
      </c>
      <c r="D12" s="69" t="str">
        <f>IF(Hintergrunddaten!C125&lt;&gt;"OK"=TRUE(),"Achtung: Postleitzahl nicht von Dingolfing, keine Förderung möglich!","")</f>
        <v>Achtung: Postleitzahl nicht von Dingolfing, keine Förderung möglich!</v>
      </c>
    </row>
    <row r="13" spans="1:9" ht="21" x14ac:dyDescent="0.25">
      <c r="A13" s="3" t="s">
        <v>7</v>
      </c>
    </row>
    <row r="14" spans="1:9" ht="4.5" customHeight="1" x14ac:dyDescent="0.25">
      <c r="A14" s="9"/>
      <c r="B14" s="9"/>
      <c r="C14" s="9"/>
      <c r="D14" s="9"/>
      <c r="E14" s="9"/>
      <c r="F14" s="9"/>
      <c r="G14" s="9"/>
      <c r="H14" s="9"/>
      <c r="I14" s="9"/>
    </row>
    <row r="15" spans="1:9" x14ac:dyDescent="0.25">
      <c r="A15" s="41" t="s">
        <v>185</v>
      </c>
      <c r="D15" s="157" t="str">
        <f>IF(Antragsdaten!E9="","-",Antragsdaten!E9)</f>
        <v>-</v>
      </c>
    </row>
    <row r="16" spans="1:9" x14ac:dyDescent="0.25">
      <c r="A16" s="41" t="str">
        <f>"Beantragter Fördergegenstand: "</f>
        <v xml:space="preserve">Beantragter Fördergegenstand: </v>
      </c>
      <c r="B16" s="11"/>
      <c r="C16" s="11"/>
      <c r="D16" s="11" t="str">
        <f>IF(Antragsdaten!E6="Bitte wählen","-",VLOOKUP(1,Hintergrunddaten!C75:H109,5,))</f>
        <v>-</v>
      </c>
      <c r="G16" s="11"/>
    </row>
    <row r="17" spans="1:9" ht="4.5" customHeight="1" x14ac:dyDescent="0.25">
      <c r="A17" s="9"/>
      <c r="B17" s="9"/>
      <c r="C17" s="9"/>
      <c r="D17" s="9"/>
      <c r="E17" s="9"/>
      <c r="F17" s="9"/>
      <c r="G17" s="9"/>
      <c r="H17" s="9"/>
      <c r="I17" s="9"/>
    </row>
    <row r="18" spans="1:9" x14ac:dyDescent="0.25">
      <c r="A18" s="40" t="str">
        <f>IF(B18&lt;&gt;" ","-","")</f>
        <v/>
      </c>
      <c r="B18" s="12" t="str">
        <f>IF(D16="-","",IF(VLOOKUP(D16,Hintergrunddaten!B62:F70,2,)=0,"",(VLOOKUP(D16,Hintergrunddaten!B62:F70,2,))))&amp;" "&amp;IF(ISNA(VLOOKUP("1.1",Hintergrunddaten!C75:H110,5,)),"",VLOOKUP("1.1",Hintergrunddaten!C75:H110,5,))</f>
        <v xml:space="preserve"> </v>
      </c>
      <c r="F18" s="42"/>
    </row>
    <row r="19" spans="1:9" x14ac:dyDescent="0.25">
      <c r="A19" s="40" t="str">
        <f>IF(B19&lt;&gt;" ","-","")</f>
        <v/>
      </c>
      <c r="B19" s="12" t="str">
        <f>IF(D16="-","",IF(VLOOKUP(D16,Hintergrunddaten!B62:F70,3,)=0,"",(VLOOKUP(D16,Hintergrunddaten!B62:F70,3,))))&amp;" "&amp;IF(ISNA(VLOOKUP("1.2",Hintergrunddaten!C75:H110,5,)),"",VLOOKUP("1.2",Hintergrunddaten!C75:H110,5,))</f>
        <v xml:space="preserve"> </v>
      </c>
      <c r="F19" s="42"/>
    </row>
    <row r="20" spans="1:9" x14ac:dyDescent="0.25">
      <c r="A20" s="40" t="str">
        <f>IF(B20&lt;&gt;" ","-","")</f>
        <v/>
      </c>
      <c r="B20" s="12" t="str">
        <f>IF(D16="-","",IF(VLOOKUP(D16,Hintergrunddaten!B62:F70,4,)=0,"",(VLOOKUP(D16,Hintergrunddaten!B62:F70,4,))))&amp;" "&amp;IF(ISNA(VLOOKUP("1.3",Hintergrunddaten!C75:H110,5,)),"",VLOOKUP("1.3",Hintergrunddaten!C75:H110,5,))</f>
        <v xml:space="preserve"> </v>
      </c>
      <c r="F20" s="42"/>
    </row>
    <row r="21" spans="1:9" x14ac:dyDescent="0.25">
      <c r="A21" s="40" t="str">
        <f>IF(B21&lt;&gt;" ","-","")</f>
        <v/>
      </c>
      <c r="B21" s="12" t="str">
        <f>IF(D16="-","",IF(VLOOKUP(D16,Hintergrunddaten!B62:F70,5,)=0,"",(VLOOKUP(D16,Hintergrunddaten!B62:F70,5,))))&amp;" "&amp;IF(ISNA(VLOOKUP("1.4",Hintergrunddaten!C75:I110,5,)),"",VLOOKUP("1.4",Hintergrunddaten!C75:I110,5,))</f>
        <v xml:space="preserve"> </v>
      </c>
      <c r="F21" s="42"/>
    </row>
    <row r="22" spans="1:9" ht="4.5" customHeight="1" x14ac:dyDescent="0.25">
      <c r="A22" s="9"/>
      <c r="B22" s="9"/>
      <c r="C22" s="9"/>
      <c r="D22" s="9"/>
      <c r="E22" s="9"/>
      <c r="F22" s="9"/>
      <c r="G22" s="9"/>
      <c r="H22" s="9"/>
      <c r="I22" s="9"/>
    </row>
    <row r="23" spans="1:9" x14ac:dyDescent="0.25">
      <c r="A23" s="41" t="str">
        <f>"Beantragte Fördersumme: "</f>
        <v xml:space="preserve">Beantragte Fördersumme: </v>
      </c>
      <c r="B23" s="11"/>
      <c r="C23" s="11"/>
      <c r="D23" s="24">
        <f>Hintergrunddaten!C120</f>
        <v>0</v>
      </c>
    </row>
    <row r="24" spans="1:9" x14ac:dyDescent="0.25">
      <c r="A24" s="12" t="s">
        <v>216</v>
      </c>
      <c r="B24" s="9"/>
      <c r="C24" s="9"/>
      <c r="D24" s="132">
        <f>Antragsdaten!E11</f>
        <v>0</v>
      </c>
    </row>
    <row r="25" spans="1:9" x14ac:dyDescent="0.25">
      <c r="A25" s="12" t="str">
        <f>IF(Antragsdaten!H10="OK"=TRUE(),IF(Antragsdaten!E10="Ja","Diese Maßnahme wird in Eigenleistung umgesetzt",""),"Fehlende Angabe")</f>
        <v>Fehlende Angabe</v>
      </c>
      <c r="B25" s="11"/>
      <c r="C25" s="11"/>
      <c r="D25" s="92"/>
    </row>
    <row r="26" spans="1:9" ht="9.75" customHeight="1" x14ac:dyDescent="0.25">
      <c r="A26" s="9"/>
      <c r="B26" s="9"/>
      <c r="C26" s="9"/>
      <c r="D26" s="9"/>
      <c r="E26" s="9"/>
      <c r="F26" s="9"/>
      <c r="G26" s="9"/>
      <c r="H26" s="9"/>
      <c r="I26" s="9"/>
    </row>
    <row r="27" spans="1:9" ht="183.75" customHeight="1" x14ac:dyDescent="0.25">
      <c r="A27" s="206" t="s">
        <v>193</v>
      </c>
      <c r="B27" s="206"/>
      <c r="C27" s="206"/>
      <c r="D27" s="206"/>
      <c r="E27" s="206"/>
      <c r="F27" s="206"/>
      <c r="G27" s="206"/>
      <c r="H27" s="206"/>
      <c r="I27" s="206"/>
    </row>
    <row r="28" spans="1:9" x14ac:dyDescent="0.25">
      <c r="A28" s="127" t="str">
        <f>IF(B28&lt;&gt;"","R","")</f>
        <v>R</v>
      </c>
      <c r="B28" s="72" t="s">
        <v>256</v>
      </c>
      <c r="C28" s="9"/>
      <c r="D28" s="9"/>
      <c r="E28" s="9"/>
      <c r="F28" s="9"/>
      <c r="G28" s="9"/>
      <c r="H28" s="9"/>
      <c r="I28" s="126"/>
    </row>
    <row r="29" spans="1:9" x14ac:dyDescent="0.25">
      <c r="A29" s="127" t="str">
        <f>IF(B29&lt;&gt;"","R","")</f>
        <v/>
      </c>
      <c r="B29" s="72" t="str">
        <f>IF(D16="-","",IF(VLOOKUP(1,Hintergrunddaten!I75:K109,2,)=0,"",VLOOKUP(1,Hintergrunddaten!I75:K109,2,)))</f>
        <v/>
      </c>
      <c r="C29" s="9"/>
      <c r="D29" s="9"/>
      <c r="E29" s="9"/>
      <c r="F29" s="9"/>
      <c r="G29" s="9"/>
      <c r="H29" s="9"/>
      <c r="I29" s="9"/>
    </row>
    <row r="30" spans="1:9" x14ac:dyDescent="0.25">
      <c r="A30" s="127" t="str">
        <f>IF(B30&lt;&gt;"","R","")</f>
        <v/>
      </c>
      <c r="B30" s="72" t="str">
        <f>IF(D16="-","",IF(VLOOKUP(1,Hintergrunddaten!I75:K109,3,)=0,"",VLOOKUP(1,Hintergrunddaten!I75:K109,3,)))</f>
        <v/>
      </c>
      <c r="C30" s="9"/>
      <c r="D30" s="9"/>
      <c r="E30" s="9"/>
      <c r="F30" s="9"/>
      <c r="G30" s="9"/>
      <c r="H30" s="9"/>
      <c r="I30" s="9"/>
    </row>
    <row r="31" spans="1:9" ht="17.25" customHeight="1" x14ac:dyDescent="0.25">
      <c r="A31" s="128" t="str">
        <f>IF(B31&lt;&gt;"","R","")</f>
        <v/>
      </c>
      <c r="B31" s="121" t="str">
        <f>IF(D16="-","",IF(VLOOKUP(1,Hintergrunddaten!I75:L109,4,)=0,"",VLOOKUP(1,Hintergrunddaten!I75:L109,4,)))</f>
        <v/>
      </c>
      <c r="C31" s="9"/>
      <c r="D31" s="9"/>
      <c r="E31" s="9"/>
      <c r="F31" s="9"/>
      <c r="G31" s="9"/>
      <c r="H31" s="9"/>
      <c r="I31" s="9"/>
    </row>
    <row r="32" spans="1:9" x14ac:dyDescent="0.25">
      <c r="A32" s="12" t="s">
        <v>21</v>
      </c>
      <c r="B32" s="9"/>
      <c r="C32" s="9"/>
      <c r="D32" s="9"/>
      <c r="E32" s="9"/>
      <c r="F32" s="9"/>
      <c r="G32" s="9"/>
      <c r="H32" s="9"/>
      <c r="I32" s="9"/>
    </row>
    <row r="33" spans="1:9" x14ac:dyDescent="0.25">
      <c r="A33" s="12" t="str">
        <f>Antragsdaten!E111&amp;" "&amp;Antragsdaten!E112</f>
        <v xml:space="preserve"> </v>
      </c>
      <c r="B33" s="9"/>
      <c r="C33" s="9"/>
      <c r="D33" s="9"/>
      <c r="E33" s="9"/>
      <c r="F33" s="9"/>
      <c r="G33" s="9"/>
      <c r="H33" s="9"/>
      <c r="I33" s="9"/>
    </row>
    <row r="34" spans="1:9" ht="8.25" customHeight="1" x14ac:dyDescent="0.25">
      <c r="A34" s="12"/>
      <c r="B34" s="9"/>
      <c r="C34" s="9"/>
      <c r="D34" s="9"/>
      <c r="E34" s="9"/>
      <c r="F34" s="9"/>
      <c r="G34" s="9"/>
      <c r="H34" s="9"/>
      <c r="I34" s="9"/>
    </row>
    <row r="35" spans="1:9" ht="30.75" customHeight="1" x14ac:dyDescent="0.25">
      <c r="A35" s="76"/>
      <c r="B35" s="13"/>
      <c r="C35" s="13"/>
      <c r="D35" s="13"/>
      <c r="F35" s="13"/>
      <c r="G35" s="13"/>
      <c r="H35" s="13"/>
      <c r="I35" s="13"/>
    </row>
    <row r="36" spans="1:9" x14ac:dyDescent="0.25">
      <c r="A36" s="12" t="s">
        <v>6</v>
      </c>
      <c r="B36" s="9"/>
      <c r="C36" s="9"/>
      <c r="D36" s="9"/>
      <c r="F36" s="9" t="s">
        <v>138</v>
      </c>
      <c r="G36" s="9"/>
      <c r="H36" s="9"/>
      <c r="I36" s="9"/>
    </row>
    <row r="37" spans="1:9" ht="7.5" customHeight="1" x14ac:dyDescent="0.25">
      <c r="A37" s="14"/>
      <c r="B37" s="9"/>
      <c r="C37" s="9"/>
      <c r="D37" s="9"/>
      <c r="E37" s="9"/>
      <c r="F37" s="9"/>
      <c r="G37" s="9"/>
      <c r="H37" s="9"/>
      <c r="I37" s="9"/>
    </row>
    <row r="38" spans="1:9" ht="60" customHeight="1" x14ac:dyDescent="0.25">
      <c r="A38" s="210" t="s">
        <v>181</v>
      </c>
      <c r="B38" s="210"/>
      <c r="C38" s="210"/>
      <c r="D38" s="210"/>
      <c r="E38" s="210"/>
      <c r="F38" s="210"/>
      <c r="G38" s="210"/>
      <c r="H38" s="210"/>
      <c r="I38" s="210"/>
    </row>
    <row r="39" spans="1:9" ht="8.25" customHeight="1" x14ac:dyDescent="0.25">
      <c r="A39" s="12"/>
      <c r="B39" s="9"/>
      <c r="C39" s="9"/>
      <c r="D39" s="9"/>
      <c r="E39" s="9"/>
      <c r="F39" s="9"/>
      <c r="G39" s="9"/>
      <c r="H39" s="9"/>
      <c r="I39" s="9"/>
    </row>
    <row r="40" spans="1:9" x14ac:dyDescent="0.25">
      <c r="A40" s="93">
        <f ca="1">TODAY()</f>
        <v>45385</v>
      </c>
      <c r="B40" s="94" t="str">
        <f>Antragsdaten!E111&amp;" "&amp;Antragsdaten!E112&amp;", Förderantrag - Dingolfinger Anreizprogramm Klimaschutzoffensive (Stand 30.06.2022)"</f>
        <v xml:space="preserve"> , Förderantrag - Dingolfinger Anreizprogramm Klimaschutzoffensive (Stand 30.06.2022)</v>
      </c>
      <c r="C40" s="94"/>
      <c r="D40" s="94"/>
      <c r="E40" s="95"/>
      <c r="F40" s="95"/>
      <c r="G40" s="95"/>
      <c r="H40" s="95"/>
      <c r="I40" s="96" t="s">
        <v>164</v>
      </c>
    </row>
    <row r="41" spans="1:9" ht="11.25" customHeight="1" x14ac:dyDescent="0.25">
      <c r="A41" s="10"/>
      <c r="B41" s="7"/>
      <c r="C41" s="7"/>
      <c r="D41" s="7"/>
      <c r="E41" s="7"/>
      <c r="F41" s="7"/>
      <c r="G41" s="7"/>
      <c r="H41" s="7"/>
      <c r="I41" s="7"/>
    </row>
    <row r="42" spans="1:9" ht="13.5" customHeight="1" x14ac:dyDescent="0.25">
      <c r="A42" s="10"/>
      <c r="B42" s="7"/>
      <c r="C42" s="7"/>
      <c r="D42" s="7"/>
      <c r="E42" s="7"/>
      <c r="F42" s="7"/>
      <c r="G42" s="7"/>
      <c r="H42" s="7"/>
      <c r="I42" s="7"/>
    </row>
    <row r="43" spans="1:9" ht="24" customHeight="1" x14ac:dyDescent="0.25">
      <c r="A43" s="75" t="s">
        <v>8</v>
      </c>
      <c r="B43" s="67"/>
      <c r="C43" s="67"/>
      <c r="D43" s="67"/>
      <c r="E43" s="67"/>
      <c r="F43" s="67"/>
      <c r="G43" s="67"/>
      <c r="H43" s="67"/>
      <c r="I43" s="67"/>
    </row>
    <row r="44" spans="1:9" ht="26.25" customHeight="1" x14ac:dyDescent="0.25">
      <c r="A44" s="42" t="s">
        <v>174</v>
      </c>
      <c r="B44" s="12"/>
      <c r="C44" s="12"/>
      <c r="D44" s="12"/>
      <c r="E44" s="12"/>
      <c r="F44" s="202" t="s">
        <v>180</v>
      </c>
      <c r="G44" s="202"/>
      <c r="H44" s="202"/>
      <c r="I44" s="202"/>
    </row>
    <row r="45" spans="1:9" x14ac:dyDescent="0.25">
      <c r="A45" s="198">
        <f>Antragsdaten!E107</f>
        <v>0</v>
      </c>
      <c r="B45" s="198"/>
      <c r="C45" s="198"/>
      <c r="D45" s="198"/>
      <c r="E45" s="12"/>
      <c r="F45" s="158">
        <f>Antragsdaten!E108</f>
        <v>0</v>
      </c>
      <c r="G45" s="119"/>
      <c r="H45" s="119"/>
      <c r="I45" s="119"/>
    </row>
    <row r="46" spans="1:9" x14ac:dyDescent="0.25">
      <c r="A46" s="1" t="s">
        <v>9</v>
      </c>
      <c r="B46" s="12"/>
      <c r="C46" s="12"/>
      <c r="D46" s="12"/>
      <c r="E46" s="12"/>
      <c r="F46" s="12"/>
      <c r="G46" s="12"/>
      <c r="H46" s="67"/>
      <c r="I46" s="67"/>
    </row>
    <row r="47" spans="1:9" x14ac:dyDescent="0.25">
      <c r="A47" s="198">
        <f>Antragsdaten!E110</f>
        <v>0</v>
      </c>
      <c r="B47" s="198"/>
      <c r="C47" s="12"/>
      <c r="D47" s="12"/>
      <c r="E47" s="12"/>
      <c r="F47" s="12"/>
      <c r="G47" s="12"/>
      <c r="H47" s="67"/>
      <c r="I47" s="67"/>
    </row>
    <row r="48" spans="1:9" x14ac:dyDescent="0.25">
      <c r="A48" s="1" t="s">
        <v>10</v>
      </c>
      <c r="B48" s="12"/>
      <c r="C48" s="12"/>
      <c r="D48" s="12"/>
      <c r="E48" s="67"/>
      <c r="F48" s="1" t="s">
        <v>11</v>
      </c>
      <c r="G48" s="12"/>
      <c r="H48" s="12"/>
      <c r="I48" s="67"/>
    </row>
    <row r="49" spans="1:9" x14ac:dyDescent="0.25">
      <c r="A49" s="198">
        <f>Antragsdaten!E111</f>
        <v>0</v>
      </c>
      <c r="B49" s="198"/>
      <c r="C49" s="198"/>
      <c r="D49" s="198"/>
      <c r="E49" s="67"/>
      <c r="F49" s="198">
        <f>Antragsdaten!E112</f>
        <v>0</v>
      </c>
      <c r="G49" s="198"/>
      <c r="H49" s="198"/>
      <c r="I49" s="198"/>
    </row>
    <row r="50" spans="1:9" x14ac:dyDescent="0.25">
      <c r="A50" s="1" t="s">
        <v>12</v>
      </c>
      <c r="B50" s="12"/>
      <c r="C50" s="12"/>
      <c r="D50" s="12"/>
      <c r="E50" s="67"/>
      <c r="H50" s="1" t="s">
        <v>13</v>
      </c>
      <c r="I50" s="12"/>
    </row>
    <row r="51" spans="1:9" x14ac:dyDescent="0.25">
      <c r="A51" s="198">
        <f>Antragsdaten!E113</f>
        <v>0</v>
      </c>
      <c r="B51" s="198"/>
      <c r="C51" s="198"/>
      <c r="D51" s="198"/>
      <c r="E51" s="198"/>
      <c r="F51" s="198"/>
      <c r="H51" s="199">
        <f>Antragsdaten!E114</f>
        <v>0</v>
      </c>
      <c r="I51" s="199"/>
    </row>
    <row r="52" spans="1:9" x14ac:dyDescent="0.25">
      <c r="A52" s="1" t="s">
        <v>14</v>
      </c>
      <c r="B52" s="12"/>
      <c r="C52" s="67"/>
      <c r="D52" s="67"/>
      <c r="E52" s="67"/>
      <c r="F52" s="1" t="s">
        <v>15</v>
      </c>
      <c r="G52" s="12"/>
      <c r="H52" s="12"/>
      <c r="I52" s="67"/>
    </row>
    <row r="53" spans="1:9" x14ac:dyDescent="0.25">
      <c r="A53" s="198">
        <f>Antragsdaten!E115</f>
        <v>0</v>
      </c>
      <c r="B53" s="198"/>
      <c r="C53" s="198"/>
      <c r="D53" s="198"/>
      <c r="E53" s="67"/>
      <c r="F53" s="199">
        <f>Antragsdaten!E116</f>
        <v>0</v>
      </c>
      <c r="G53" s="199"/>
      <c r="H53" s="199"/>
      <c r="I53" s="199"/>
    </row>
    <row r="54" spans="1:9" x14ac:dyDescent="0.25">
      <c r="A54" s="1" t="s">
        <v>16</v>
      </c>
      <c r="B54" s="12"/>
      <c r="C54" s="12"/>
      <c r="D54" s="12"/>
      <c r="E54" s="12"/>
      <c r="F54" s="12"/>
      <c r="G54" s="12"/>
      <c r="H54" s="67"/>
      <c r="I54" s="67"/>
    </row>
    <row r="55" spans="1:9" x14ac:dyDescent="0.25">
      <c r="A55" s="205">
        <f>Antragsdaten!E117</f>
        <v>0</v>
      </c>
      <c r="B55" s="205"/>
      <c r="C55" s="205"/>
      <c r="D55" s="205"/>
      <c r="E55" s="12"/>
      <c r="F55" s="12"/>
      <c r="G55" s="12"/>
      <c r="H55" s="67"/>
      <c r="I55" s="67"/>
    </row>
    <row r="56" spans="1:9" x14ac:dyDescent="0.25">
      <c r="A56" s="1" t="s">
        <v>17</v>
      </c>
      <c r="B56" s="12"/>
      <c r="C56" s="12"/>
      <c r="D56" s="12"/>
      <c r="E56" s="12"/>
      <c r="F56" s="12"/>
      <c r="G56" s="12"/>
      <c r="H56" s="67"/>
      <c r="I56" s="67"/>
    </row>
    <row r="57" spans="1:9" x14ac:dyDescent="0.25">
      <c r="A57" s="198">
        <f>Antragsdaten!E118</f>
        <v>0</v>
      </c>
      <c r="B57" s="198"/>
      <c r="C57" s="198"/>
      <c r="D57" s="198"/>
      <c r="E57" s="198"/>
      <c r="F57" s="198"/>
      <c r="G57" s="12"/>
      <c r="H57" s="67"/>
      <c r="I57" s="67"/>
    </row>
    <row r="58" spans="1:9" x14ac:dyDescent="0.25">
      <c r="A58" s="1" t="s">
        <v>18</v>
      </c>
      <c r="B58" s="67"/>
      <c r="C58" s="67"/>
      <c r="D58" s="67"/>
      <c r="E58" s="67"/>
      <c r="F58" s="67"/>
      <c r="G58" s="67"/>
      <c r="H58" s="67"/>
      <c r="I58" s="67"/>
    </row>
    <row r="59" spans="1:9" x14ac:dyDescent="0.25">
      <c r="A59" s="204">
        <f>Antragsdaten!E119</f>
        <v>0</v>
      </c>
      <c r="B59" s="198"/>
      <c r="C59" s="198"/>
      <c r="D59" s="198"/>
      <c r="E59" s="198"/>
      <c r="F59" s="198"/>
      <c r="G59" s="12"/>
      <c r="H59" s="67"/>
      <c r="I59" s="67"/>
    </row>
    <row r="60" spans="1:9" x14ac:dyDescent="0.25">
      <c r="A60" s="1" t="s">
        <v>19</v>
      </c>
      <c r="B60" s="12"/>
      <c r="C60" s="12"/>
      <c r="D60" s="12"/>
      <c r="E60" s="12"/>
      <c r="F60" s="12"/>
      <c r="G60" s="12"/>
      <c r="H60" s="67"/>
      <c r="I60" s="67"/>
    </row>
    <row r="61" spans="1:9" x14ac:dyDescent="0.25">
      <c r="A61" s="198">
        <f>Antragsdaten!E122</f>
        <v>0</v>
      </c>
      <c r="B61" s="198"/>
      <c r="C61" s="198"/>
      <c r="D61" s="198"/>
      <c r="E61" s="198"/>
      <c r="F61" s="198"/>
      <c r="G61" s="12"/>
      <c r="H61" s="67"/>
      <c r="I61" s="67"/>
    </row>
    <row r="62" spans="1:9" x14ac:dyDescent="0.25">
      <c r="A62" s="1" t="s">
        <v>20</v>
      </c>
      <c r="B62" s="12"/>
      <c r="C62" s="12"/>
      <c r="D62" s="12"/>
      <c r="E62" s="67"/>
      <c r="F62" s="1" t="s">
        <v>11</v>
      </c>
      <c r="G62" s="12"/>
      <c r="H62" s="12"/>
      <c r="I62" s="67"/>
    </row>
    <row r="63" spans="1:9" x14ac:dyDescent="0.25">
      <c r="A63" s="198">
        <f>Antragsdaten!E124</f>
        <v>0</v>
      </c>
      <c r="B63" s="198"/>
      <c r="C63" s="198"/>
      <c r="D63" s="198"/>
      <c r="E63" s="67"/>
      <c r="F63" s="198">
        <f>Antragsdaten!E125</f>
        <v>0</v>
      </c>
      <c r="G63" s="198"/>
      <c r="H63" s="198"/>
      <c r="I63" s="198"/>
    </row>
    <row r="64" spans="1:9" x14ac:dyDescent="0.25">
      <c r="A64" s="68"/>
      <c r="B64" s="68"/>
      <c r="C64" s="68"/>
      <c r="D64" s="68"/>
      <c r="E64" s="16"/>
      <c r="F64" s="68"/>
      <c r="G64" s="68"/>
      <c r="H64" s="68"/>
      <c r="I64" s="67"/>
    </row>
    <row r="65" spans="1:9" ht="24" customHeight="1" x14ac:dyDescent="0.25">
      <c r="A65" s="75" t="s">
        <v>129</v>
      </c>
      <c r="B65" s="67"/>
      <c r="C65" s="67"/>
      <c r="D65" s="67"/>
      <c r="E65" s="67"/>
      <c r="F65" s="67"/>
      <c r="G65" s="67"/>
      <c r="H65" s="67"/>
      <c r="I65" s="67"/>
    </row>
    <row r="66" spans="1:9" x14ac:dyDescent="0.25">
      <c r="A66" s="1" t="s">
        <v>12</v>
      </c>
      <c r="B66" s="10"/>
      <c r="C66" s="10"/>
      <c r="D66" s="10"/>
      <c r="E66" s="67"/>
      <c r="H66" s="1" t="s">
        <v>13</v>
      </c>
      <c r="I66" s="10"/>
    </row>
    <row r="67" spans="1:9" x14ac:dyDescent="0.25">
      <c r="A67" s="198">
        <f>Antragsdaten!E128</f>
        <v>0</v>
      </c>
      <c r="B67" s="198"/>
      <c r="C67" s="198"/>
      <c r="D67" s="198"/>
      <c r="E67" s="198"/>
      <c r="F67" s="198"/>
      <c r="H67" s="199">
        <f>Antragsdaten!E129</f>
        <v>0</v>
      </c>
      <c r="I67" s="199"/>
    </row>
    <row r="68" spans="1:9" x14ac:dyDescent="0.25">
      <c r="A68" s="1" t="s">
        <v>14</v>
      </c>
      <c r="B68" s="10"/>
      <c r="C68" s="67"/>
      <c r="D68" s="67"/>
      <c r="E68" s="67"/>
      <c r="F68" s="1" t="s">
        <v>123</v>
      </c>
      <c r="G68" s="10"/>
      <c r="H68" s="10"/>
      <c r="I68" s="10"/>
    </row>
    <row r="69" spans="1:9" x14ac:dyDescent="0.25">
      <c r="A69" s="198">
        <f>Antragsdaten!E130</f>
        <v>0</v>
      </c>
      <c r="B69" s="198"/>
      <c r="C69" s="198"/>
      <c r="D69" s="198"/>
      <c r="E69" s="67"/>
      <c r="F69" s="199">
        <f>Antragsdaten!E131</f>
        <v>0</v>
      </c>
      <c r="G69" s="199"/>
      <c r="H69" s="199"/>
      <c r="I69" s="199"/>
    </row>
    <row r="70" spans="1:9" x14ac:dyDescent="0.25">
      <c r="A70" s="1" t="s">
        <v>128</v>
      </c>
      <c r="B70" s="10"/>
      <c r="C70" s="10"/>
      <c r="D70" s="10"/>
      <c r="E70" s="10"/>
      <c r="F70" s="10"/>
      <c r="G70" s="10"/>
      <c r="H70" s="10"/>
      <c r="I70" s="10"/>
    </row>
    <row r="71" spans="1:9" x14ac:dyDescent="0.25">
      <c r="A71" s="198">
        <f>Antragsdaten!E132</f>
        <v>0</v>
      </c>
      <c r="B71" s="198"/>
      <c r="C71" s="198"/>
      <c r="D71" s="198"/>
      <c r="E71" s="10"/>
      <c r="F71" s="10"/>
      <c r="G71" s="10"/>
      <c r="H71" s="10"/>
      <c r="I71" s="10"/>
    </row>
    <row r="72" spans="1:9" x14ac:dyDescent="0.25">
      <c r="A72" s="10"/>
      <c r="B72" s="10"/>
      <c r="C72" s="10"/>
      <c r="D72" s="10"/>
      <c r="E72" s="10"/>
      <c r="F72" s="10"/>
      <c r="G72" s="10"/>
      <c r="H72" s="10"/>
      <c r="I72" s="10"/>
    </row>
    <row r="73" spans="1:9" ht="24" customHeight="1" x14ac:dyDescent="0.25">
      <c r="A73" s="75" t="s">
        <v>169</v>
      </c>
      <c r="B73" s="67"/>
      <c r="C73" s="67"/>
      <c r="D73" s="67"/>
      <c r="E73" s="67"/>
      <c r="F73" s="67"/>
      <c r="G73" s="67"/>
      <c r="H73" s="67"/>
      <c r="I73" s="67"/>
    </row>
    <row r="74" spans="1:9" x14ac:dyDescent="0.25">
      <c r="A74" s="1" t="s">
        <v>137</v>
      </c>
      <c r="B74" s="12"/>
      <c r="C74" s="12"/>
      <c r="D74" s="12"/>
      <c r="E74" s="12"/>
      <c r="F74" s="12"/>
      <c r="G74" s="12"/>
      <c r="H74" s="67"/>
      <c r="I74" s="67"/>
    </row>
    <row r="75" spans="1:9" x14ac:dyDescent="0.25">
      <c r="A75" s="199" t="str">
        <f>IF(Hintergrunddaten!$C$120&lt;=Hintergrunddaten!$D$5,("Vereinfachtes Verfahren"),Antragsdaten!E138)</f>
        <v>Vereinfachtes Verfahren</v>
      </c>
      <c r="B75" s="199"/>
      <c r="C75" s="199"/>
      <c r="D75" s="199"/>
      <c r="E75" s="12"/>
      <c r="F75" s="12"/>
      <c r="G75" s="12"/>
      <c r="H75" s="67"/>
      <c r="I75" s="67"/>
    </row>
    <row r="76" spans="1:9" x14ac:dyDescent="0.25">
      <c r="A76" s="1" t="s">
        <v>9</v>
      </c>
      <c r="B76" s="12"/>
      <c r="C76" s="12"/>
      <c r="D76" s="12"/>
      <c r="E76" s="12"/>
      <c r="F76" s="12"/>
      <c r="G76" s="12"/>
      <c r="H76" s="67"/>
      <c r="I76" s="67"/>
    </row>
    <row r="77" spans="1:9" x14ac:dyDescent="0.25">
      <c r="A77" s="198" t="str">
        <f>IF(Hintergrunddaten!$D$7="Ja",("-"),Antragsdaten!E144)</f>
        <v>-</v>
      </c>
      <c r="B77" s="198"/>
      <c r="C77" s="12"/>
      <c r="D77" s="12"/>
      <c r="E77" s="12"/>
      <c r="F77" s="12"/>
      <c r="G77" s="12"/>
      <c r="H77" s="67"/>
      <c r="I77" s="67"/>
    </row>
    <row r="78" spans="1:9" x14ac:dyDescent="0.25">
      <c r="A78" s="1" t="s">
        <v>10</v>
      </c>
      <c r="B78" s="12"/>
      <c r="C78" s="12"/>
      <c r="D78" s="12"/>
      <c r="E78" s="67"/>
      <c r="F78" s="1" t="s">
        <v>11</v>
      </c>
      <c r="G78" s="12"/>
      <c r="H78" s="12"/>
      <c r="I78" s="67"/>
    </row>
    <row r="79" spans="1:9" x14ac:dyDescent="0.25">
      <c r="A79" s="198" t="str">
        <f>IF(Hintergrunddaten!$D$7="Ja",("-"),Antragsdaten!E145)</f>
        <v>-</v>
      </c>
      <c r="B79" s="198"/>
      <c r="C79" s="198"/>
      <c r="D79" s="198"/>
      <c r="E79" s="67"/>
      <c r="F79" s="198" t="str">
        <f>IF(Hintergrunddaten!$D$7="Ja",("-"),Antragsdaten!E146)</f>
        <v>-</v>
      </c>
      <c r="G79" s="198"/>
      <c r="H79" s="198"/>
      <c r="I79" s="198"/>
    </row>
    <row r="80" spans="1:9" x14ac:dyDescent="0.25">
      <c r="A80" s="1" t="s">
        <v>12</v>
      </c>
      <c r="B80" s="12"/>
      <c r="C80" s="12"/>
      <c r="D80" s="12"/>
      <c r="E80" s="67"/>
      <c r="H80" s="1" t="s">
        <v>13</v>
      </c>
      <c r="I80" s="12"/>
    </row>
    <row r="81" spans="1:9" x14ac:dyDescent="0.25">
      <c r="A81" s="198" t="str">
        <f>IF(Hintergrunddaten!$D$7="Ja",("-"),Antragsdaten!E139)</f>
        <v>-</v>
      </c>
      <c r="B81" s="198"/>
      <c r="C81" s="198"/>
      <c r="D81" s="198"/>
      <c r="E81" s="198"/>
      <c r="F81" s="198"/>
      <c r="H81" s="199" t="str">
        <f>IF(Hintergrunddaten!$D$7="Ja",("-"),Antragsdaten!E140)</f>
        <v>-</v>
      </c>
      <c r="I81" s="199"/>
    </row>
    <row r="82" spans="1:9" x14ac:dyDescent="0.25">
      <c r="A82" s="1" t="s">
        <v>14</v>
      </c>
      <c r="B82" s="12"/>
      <c r="C82" s="67"/>
      <c r="D82" s="67"/>
      <c r="E82" s="67"/>
      <c r="F82" s="1" t="s">
        <v>123</v>
      </c>
      <c r="G82" s="12"/>
      <c r="H82" s="12"/>
      <c r="I82" s="67"/>
    </row>
    <row r="83" spans="1:9" x14ac:dyDescent="0.25">
      <c r="A83" s="198" t="str">
        <f>IF(Hintergrunddaten!$D$7="Ja",("-"),Antragsdaten!E141)</f>
        <v>-</v>
      </c>
      <c r="B83" s="198"/>
      <c r="C83" s="198"/>
      <c r="D83" s="198"/>
      <c r="E83" s="67"/>
      <c r="F83" s="199" t="str">
        <f>IF(Hintergrunddaten!$D$7="Ja",("-"),Antragsdaten!E142)</f>
        <v>-</v>
      </c>
      <c r="G83" s="199"/>
      <c r="H83" s="199"/>
      <c r="I83" s="199"/>
    </row>
    <row r="84" spans="1:9" x14ac:dyDescent="0.25">
      <c r="A84" s="1" t="s">
        <v>17</v>
      </c>
      <c r="B84" s="12"/>
      <c r="C84" s="12"/>
      <c r="D84" s="12"/>
      <c r="E84" s="12"/>
      <c r="F84" s="12"/>
      <c r="G84" s="12"/>
      <c r="H84" s="67"/>
      <c r="I84" s="67"/>
    </row>
    <row r="85" spans="1:9" x14ac:dyDescent="0.25">
      <c r="A85" s="198" t="str">
        <f>IF(Hintergrunddaten!$D$7="Ja",("-"),Antragsdaten!E147)</f>
        <v>-</v>
      </c>
      <c r="B85" s="198"/>
      <c r="C85" s="198"/>
      <c r="D85" s="198"/>
      <c r="E85" s="198"/>
      <c r="F85" s="198"/>
      <c r="G85" s="12"/>
      <c r="H85" s="67"/>
      <c r="I85" s="67"/>
    </row>
    <row r="86" spans="1:9" x14ac:dyDescent="0.25">
      <c r="A86" s="1" t="s">
        <v>18</v>
      </c>
      <c r="B86" s="67"/>
      <c r="C86" s="67"/>
      <c r="D86" s="67"/>
      <c r="E86" s="67"/>
      <c r="F86" s="67"/>
      <c r="G86" s="67"/>
      <c r="H86" s="67"/>
      <c r="I86" s="67"/>
    </row>
    <row r="87" spans="1:9" x14ac:dyDescent="0.25">
      <c r="A87" s="200" t="str">
        <f>IF(Hintergrunddaten!$D$7="Ja",("-"),Antragsdaten!E148)</f>
        <v>-</v>
      </c>
      <c r="B87" s="200"/>
      <c r="C87" s="200"/>
      <c r="D87" s="200"/>
      <c r="E87" s="200"/>
      <c r="F87" s="200"/>
      <c r="G87" s="12"/>
      <c r="H87" s="67"/>
      <c r="I87" s="67"/>
    </row>
    <row r="88" spans="1:9" x14ac:dyDescent="0.25">
      <c r="A88" s="10"/>
      <c r="B88" s="7"/>
      <c r="C88" s="7"/>
      <c r="D88" s="7"/>
      <c r="E88" s="7"/>
      <c r="F88" s="7"/>
      <c r="G88" s="7"/>
      <c r="H88" s="7"/>
      <c r="I88" s="7"/>
    </row>
    <row r="89" spans="1:9" ht="38.25" customHeight="1" x14ac:dyDescent="0.25">
      <c r="A89" s="129" t="str">
        <f>IF(B89&lt;&gt;"","R","")</f>
        <v/>
      </c>
      <c r="B89" s="203" t="str">
        <f>IF(Hintergrunddaten!$D$7="Ja","","Der genannte Betrieb ist ein in Der Handwerksrolle eingetragener Fachbetrieb bzw. Der genannte Energieeffizienzexperte ist in Der Expertenliste für Förderprogramme des Bundes www.energie-effizienz-experten.de gelistet.")</f>
        <v/>
      </c>
      <c r="C89" s="203"/>
      <c r="D89" s="203"/>
      <c r="E89" s="203"/>
      <c r="F89" s="203"/>
      <c r="G89" s="203"/>
      <c r="H89" s="203"/>
      <c r="I89" s="203"/>
    </row>
    <row r="90" spans="1:9" ht="12" customHeight="1" x14ac:dyDescent="0.25">
      <c r="A90" s="10"/>
      <c r="B90" s="7"/>
      <c r="C90" s="7"/>
      <c r="D90" s="7"/>
      <c r="E90" s="7"/>
      <c r="F90" s="7"/>
      <c r="G90" s="7"/>
      <c r="H90" s="7"/>
      <c r="I90" s="7"/>
    </row>
    <row r="91" spans="1:9" x14ac:dyDescent="0.25">
      <c r="A91" s="93">
        <f ca="1">TODAY()</f>
        <v>45385</v>
      </c>
      <c r="B91" s="94" t="str">
        <f>B40</f>
        <v xml:space="preserve"> , Förderantrag - Dingolfinger Anreizprogramm Klimaschutzoffensive (Stand 30.06.2022)</v>
      </c>
      <c r="C91" s="94"/>
      <c r="D91" s="94"/>
      <c r="E91" s="95"/>
      <c r="F91" s="95"/>
      <c r="G91" s="95"/>
      <c r="H91" s="95"/>
      <c r="I91" s="96" t="s">
        <v>165</v>
      </c>
    </row>
    <row r="92" spans="1:9" ht="18" customHeight="1" x14ac:dyDescent="0.25">
      <c r="A92" s="10"/>
      <c r="B92" s="7"/>
      <c r="C92" s="7"/>
      <c r="D92" s="7"/>
      <c r="E92" s="7"/>
      <c r="F92" s="7"/>
      <c r="G92" s="7"/>
      <c r="H92" s="7"/>
      <c r="I92" s="7"/>
    </row>
    <row r="93" spans="1:9" ht="12.75" customHeight="1" x14ac:dyDescent="0.25">
      <c r="A93" s="10"/>
      <c r="B93" s="7"/>
      <c r="C93" s="7"/>
      <c r="D93" s="7"/>
      <c r="E93" s="7"/>
      <c r="F93" s="7"/>
      <c r="G93" s="7"/>
      <c r="H93" s="7"/>
      <c r="I93" s="7"/>
    </row>
    <row r="94" spans="1:9" ht="21" customHeight="1" x14ac:dyDescent="0.25">
      <c r="A94" s="159" t="s">
        <v>22</v>
      </c>
    </row>
    <row r="95" spans="1:9" ht="31.5" customHeight="1" x14ac:dyDescent="0.25">
      <c r="A95" s="202" t="s">
        <v>191</v>
      </c>
      <c r="B95" s="202"/>
      <c r="C95" s="202"/>
      <c r="D95" s="202"/>
      <c r="E95" s="202"/>
      <c r="F95" s="202"/>
      <c r="G95" s="202"/>
      <c r="H95" s="202"/>
      <c r="I95" s="202"/>
    </row>
    <row r="96" spans="1:9" ht="34.5" customHeight="1" x14ac:dyDescent="0.25">
      <c r="A96" s="74" t="s">
        <v>168</v>
      </c>
      <c r="B96" s="201" t="str">
        <f>IF(Antragsdaten!E10="Ja","Zum Zeitpunkt der Antragstellung bei der Stadt Dingolfing wurde das für die Förderung benötigte Material noch nicht gekauft. Mit der Umsetzung der beantragten Maßnahme wurde noch nicht begonnen","Zum Zeitpunkt der Antragstellung bei der Stadt Dingolfing wurde noch kein Auftrag für die Umsetzung der hiermit beantragten Fördermaßnahme erteilt. Den Auftrag erteile ich erst nach Erhalt des Zuwendungsbescheids durch die Stadt Dingolfing.")</f>
        <v>Zum Zeitpunkt der Antragstellung bei der Stadt Dingolfing wurde noch kein Auftrag für die Umsetzung der hiermit beantragten Fördermaßnahme erteilt. Den Auftrag erteile ich erst nach Erhalt des Zuwendungsbescheids durch die Stadt Dingolfing.</v>
      </c>
      <c r="C96" s="201"/>
      <c r="D96" s="201"/>
      <c r="E96" s="201"/>
      <c r="F96" s="201"/>
      <c r="G96" s="201"/>
      <c r="H96" s="201"/>
      <c r="I96" s="201"/>
    </row>
    <row r="97" spans="1:9" ht="29.25" customHeight="1" x14ac:dyDescent="0.25">
      <c r="A97" s="74" t="s">
        <v>168</v>
      </c>
      <c r="B97" s="201" t="s">
        <v>190</v>
      </c>
      <c r="C97" s="201"/>
      <c r="D97" s="201"/>
      <c r="E97" s="201"/>
      <c r="F97" s="201"/>
      <c r="G97" s="201"/>
      <c r="H97" s="201"/>
      <c r="I97" s="201"/>
    </row>
    <row r="98" spans="1:9" ht="29.25" customHeight="1" x14ac:dyDescent="0.25">
      <c r="A98" s="74" t="s">
        <v>168</v>
      </c>
      <c r="B98" s="201" t="s">
        <v>189</v>
      </c>
      <c r="C98" s="201"/>
      <c r="D98" s="201"/>
      <c r="E98" s="201"/>
      <c r="F98" s="201"/>
      <c r="G98" s="201"/>
      <c r="H98" s="201"/>
      <c r="I98" s="201"/>
    </row>
    <row r="99" spans="1:9" ht="35.25" customHeight="1" x14ac:dyDescent="0.25">
      <c r="A99" s="74" t="s">
        <v>168</v>
      </c>
      <c r="B99" s="201" t="s">
        <v>198</v>
      </c>
      <c r="C99" s="201"/>
      <c r="D99" s="201"/>
      <c r="E99" s="201"/>
      <c r="F99" s="201"/>
      <c r="G99" s="201"/>
      <c r="H99" s="201"/>
      <c r="I99" s="201"/>
    </row>
    <row r="100" spans="1:9" x14ac:dyDescent="0.25">
      <c r="A100" s="15"/>
    </row>
    <row r="101" spans="1:9" ht="15.75" x14ac:dyDescent="0.25">
      <c r="A101" s="6" t="s">
        <v>23</v>
      </c>
    </row>
    <row r="102" spans="1:9" ht="75" customHeight="1" x14ac:dyDescent="0.25">
      <c r="A102" s="197" t="s">
        <v>134</v>
      </c>
      <c r="B102" s="197"/>
      <c r="C102" s="197"/>
      <c r="D102" s="197"/>
      <c r="E102" s="197"/>
      <c r="F102" s="197"/>
      <c r="G102" s="197"/>
      <c r="H102" s="197"/>
      <c r="I102" s="197"/>
    </row>
    <row r="103" spans="1:9" x14ac:dyDescent="0.25">
      <c r="A103" s="8"/>
    </row>
    <row r="104" spans="1:9" ht="15.75" x14ac:dyDescent="0.25">
      <c r="A104" s="6" t="s">
        <v>24</v>
      </c>
    </row>
    <row r="105" spans="1:9" ht="76.5" customHeight="1" x14ac:dyDescent="0.25">
      <c r="A105" s="197" t="s">
        <v>135</v>
      </c>
      <c r="B105" s="197"/>
      <c r="C105" s="197"/>
      <c r="D105" s="197"/>
      <c r="E105" s="197"/>
      <c r="F105" s="197"/>
      <c r="G105" s="197"/>
      <c r="H105" s="197"/>
      <c r="I105" s="197"/>
    </row>
    <row r="107" spans="1:9" ht="15.75" x14ac:dyDescent="0.25">
      <c r="A107" s="6" t="s">
        <v>25</v>
      </c>
    </row>
    <row r="108" spans="1:9" ht="46.5" customHeight="1" x14ac:dyDescent="0.25">
      <c r="A108" s="197" t="s">
        <v>26</v>
      </c>
      <c r="B108" s="197"/>
      <c r="C108" s="197"/>
      <c r="D108" s="197"/>
      <c r="E108" s="197"/>
      <c r="F108" s="197"/>
      <c r="G108" s="197"/>
      <c r="H108" s="197"/>
      <c r="I108" s="197"/>
    </row>
    <row r="110" spans="1:9" ht="15.75" x14ac:dyDescent="0.25">
      <c r="A110" s="6" t="s">
        <v>27</v>
      </c>
    </row>
    <row r="111" spans="1:9" ht="75.75" customHeight="1" x14ac:dyDescent="0.25">
      <c r="A111" s="197" t="str">
        <f>IF(Hintergrunddaten!$D$7="Ja",Hintergrunddaten!D9,Hintergrunddaten!D10)</f>
        <v xml:space="preserve">Hiermit wird die Förderung durch das Dingolfinger Anreizprogramm Klimaschutzoffensive beantragt. Der Antragsteller bestätigt mit seiner Unterschrift, dass seine Angaben richtig und vollständig sind und dass die Vorgaben aus der Förderrichtlinie nach bestem Wissen und Gewissen erfüllt werden. Weiterhin stimmt der Antragsteller der Datenverarbeitung durch die Stadt Dingolfing zu und hat die Hinweise zu subventionserheblichen Tatsachen zur Kenntnis genommen. </v>
      </c>
      <c r="B111" s="197"/>
      <c r="C111" s="197"/>
      <c r="D111" s="197"/>
      <c r="E111" s="197"/>
      <c r="F111" s="197"/>
      <c r="G111" s="197"/>
      <c r="H111" s="197"/>
      <c r="I111" s="197"/>
    </row>
    <row r="112" spans="1:9" ht="20.25" customHeight="1" x14ac:dyDescent="0.25"/>
    <row r="113" spans="1:9" x14ac:dyDescent="0.25">
      <c r="A113" s="11" t="s">
        <v>56</v>
      </c>
      <c r="F113" s="11"/>
    </row>
    <row r="114" spans="1:9" x14ac:dyDescent="0.25">
      <c r="A114" t="str">
        <f>Antragsdaten!E111&amp;" "&amp;Antragsdaten!E112</f>
        <v xml:space="preserve"> </v>
      </c>
    </row>
    <row r="116" spans="1:9" x14ac:dyDescent="0.25">
      <c r="A116" s="12"/>
      <c r="B116" s="9"/>
      <c r="C116" s="9"/>
      <c r="D116" s="9"/>
      <c r="E116" s="9"/>
      <c r="F116" s="9"/>
      <c r="G116" s="9"/>
      <c r="H116" s="9"/>
      <c r="I116" s="9"/>
    </row>
    <row r="117" spans="1:9" x14ac:dyDescent="0.25">
      <c r="A117" s="76"/>
      <c r="B117" s="13"/>
      <c r="C117" s="13"/>
      <c r="D117" s="13"/>
      <c r="F117" s="13"/>
      <c r="G117" s="13"/>
      <c r="H117" s="13"/>
      <c r="I117" s="13"/>
    </row>
    <row r="118" spans="1:9" x14ac:dyDescent="0.25">
      <c r="A118" s="12" t="s">
        <v>6</v>
      </c>
      <c r="B118" s="9"/>
      <c r="C118" s="9"/>
      <c r="D118" s="9"/>
      <c r="F118" s="9" t="s">
        <v>138</v>
      </c>
      <c r="G118" s="9"/>
      <c r="H118" s="9"/>
      <c r="I118" s="9"/>
    </row>
    <row r="119" spans="1:9" x14ac:dyDescent="0.25">
      <c r="D119" s="9"/>
    </row>
    <row r="120" spans="1:9" ht="9" customHeight="1" x14ac:dyDescent="0.25"/>
    <row r="121" spans="1:9" ht="9" customHeight="1" x14ac:dyDescent="0.25"/>
    <row r="124" spans="1:9" ht="17.25" customHeight="1" x14ac:dyDescent="0.25"/>
    <row r="125" spans="1:9" x14ac:dyDescent="0.25">
      <c r="A125" s="93">
        <f ca="1">TODAY()</f>
        <v>45385</v>
      </c>
      <c r="B125" s="94" t="str">
        <f>B91</f>
        <v xml:space="preserve"> , Förderantrag - Dingolfinger Anreizprogramm Klimaschutzoffensive (Stand 30.06.2022)</v>
      </c>
      <c r="C125" s="94"/>
      <c r="D125" s="94"/>
      <c r="E125" s="95"/>
      <c r="F125" s="95"/>
      <c r="G125" s="95"/>
      <c r="H125" s="95"/>
      <c r="I125" s="96" t="s">
        <v>166</v>
      </c>
    </row>
  </sheetData>
  <sheetProtection algorithmName="SHA-512" hashValue="HLNPxHUnOY5c8wyJqfl5SvgikglKyMmc1tVOXUVdizdvIILAXMzWLdhtsegbt88WY3FkeSI/+Ey9XLZo18zr/Q==" saltValue="cl+CFvvLOetLd5GZ+DrFTA==" spinCount="100000" sheet="1" selectLockedCells="1"/>
  <mergeCells count="45">
    <mergeCell ref="F53:I53"/>
    <mergeCell ref="A55:D55"/>
    <mergeCell ref="A53:D53"/>
    <mergeCell ref="A27:I27"/>
    <mergeCell ref="A2:C2"/>
    <mergeCell ref="A3:C3"/>
    <mergeCell ref="A4:C4"/>
    <mergeCell ref="F49:I49"/>
    <mergeCell ref="A47:B47"/>
    <mergeCell ref="A49:D49"/>
    <mergeCell ref="A38:I38"/>
    <mergeCell ref="A45:D45"/>
    <mergeCell ref="F44:I44"/>
    <mergeCell ref="A102:I102"/>
    <mergeCell ref="A105:I105"/>
    <mergeCell ref="A108:I108"/>
    <mergeCell ref="B89:I89"/>
    <mergeCell ref="H51:I51"/>
    <mergeCell ref="A71:D71"/>
    <mergeCell ref="A69:D69"/>
    <mergeCell ref="A63:D63"/>
    <mergeCell ref="H67:I67"/>
    <mergeCell ref="F69:I69"/>
    <mergeCell ref="B96:I96"/>
    <mergeCell ref="B97:I97"/>
    <mergeCell ref="B98:I98"/>
    <mergeCell ref="A57:F57"/>
    <mergeCell ref="A59:F59"/>
    <mergeCell ref="A61:F61"/>
    <mergeCell ref="A111:I111"/>
    <mergeCell ref="A51:F51"/>
    <mergeCell ref="A67:F67"/>
    <mergeCell ref="A77:B77"/>
    <mergeCell ref="A79:D79"/>
    <mergeCell ref="F79:I79"/>
    <mergeCell ref="A81:F81"/>
    <mergeCell ref="H81:I81"/>
    <mergeCell ref="A83:D83"/>
    <mergeCell ref="F83:I83"/>
    <mergeCell ref="A85:F85"/>
    <mergeCell ref="A87:F87"/>
    <mergeCell ref="A75:D75"/>
    <mergeCell ref="B99:I99"/>
    <mergeCell ref="F63:I63"/>
    <mergeCell ref="A95:I95"/>
  </mergeCells>
  <pageMargins left="0.7" right="0.7" top="0.26041666666666669" bottom="0.2708333333333333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64"/>
  <sheetViews>
    <sheetView showGridLines="0" tabSelected="1" workbookViewId="0">
      <selection activeCell="E6" sqref="E6"/>
    </sheetView>
  </sheetViews>
  <sheetFormatPr baseColWidth="10" defaultRowHeight="15" x14ac:dyDescent="0.25"/>
  <cols>
    <col min="1" max="2" width="5.7109375" customWidth="1"/>
    <col min="3" max="3" width="4.28515625" customWidth="1"/>
    <col min="4" max="4" width="52.140625" customWidth="1"/>
    <col min="5" max="5" width="58.42578125" bestFit="1" customWidth="1"/>
    <col min="6" max="6" width="17.28515625" customWidth="1"/>
    <col min="7" max="7" width="8.5703125" bestFit="1" customWidth="1"/>
    <col min="8" max="8" width="49.140625" customWidth="1"/>
    <col min="9" max="11" width="11.28515625" customWidth="1"/>
  </cols>
  <sheetData>
    <row r="1" spans="1:8" ht="35.25" x14ac:dyDescent="0.25">
      <c r="A1" s="2" t="s">
        <v>130</v>
      </c>
      <c r="B1" s="2"/>
    </row>
    <row r="2" spans="1:8" ht="21" x14ac:dyDescent="0.25">
      <c r="A2" s="3" t="s">
        <v>7</v>
      </c>
      <c r="B2" s="3"/>
    </row>
    <row r="4" spans="1:8" ht="28.5" x14ac:dyDescent="0.45">
      <c r="A4" s="20" t="s">
        <v>211</v>
      </c>
      <c r="B4" s="20"/>
    </row>
    <row r="6" spans="1:8" ht="42.75" customHeight="1" x14ac:dyDescent="0.25">
      <c r="B6" s="148">
        <v>1</v>
      </c>
      <c r="C6" s="98" t="s">
        <v>68</v>
      </c>
      <c r="D6" s="99"/>
      <c r="E6" s="97" t="s">
        <v>136</v>
      </c>
      <c r="F6" s="214" t="s">
        <v>78</v>
      </c>
      <c r="G6" s="215"/>
      <c r="H6" s="216"/>
    </row>
    <row r="7" spans="1:8" ht="15" customHeight="1" x14ac:dyDescent="0.25"/>
    <row r="8" spans="1:8" ht="18.75" x14ac:dyDescent="0.3">
      <c r="B8" s="211">
        <v>2</v>
      </c>
      <c r="C8" s="146" t="s">
        <v>209</v>
      </c>
      <c r="D8" s="101"/>
      <c r="E8" s="101"/>
      <c r="F8" s="101"/>
      <c r="G8" s="102"/>
      <c r="H8" s="28"/>
    </row>
    <row r="9" spans="1:8" x14ac:dyDescent="0.25">
      <c r="B9" s="212"/>
      <c r="C9" s="29"/>
      <c r="D9" s="130" t="s">
        <v>173</v>
      </c>
      <c r="E9" s="165"/>
      <c r="F9" s="30"/>
      <c r="G9" s="103" t="s">
        <v>36</v>
      </c>
      <c r="H9" s="31" t="str">
        <f>IF(E9="","Fehlende Angabe","OK")</f>
        <v>Fehlende Angabe</v>
      </c>
    </row>
    <row r="10" spans="1:8" x14ac:dyDescent="0.25">
      <c r="B10" s="212"/>
      <c r="C10" s="29"/>
      <c r="D10" s="30" t="s">
        <v>161</v>
      </c>
      <c r="E10" s="165"/>
      <c r="F10" s="30"/>
      <c r="G10" s="103" t="s">
        <v>36</v>
      </c>
      <c r="H10" s="31" t="str">
        <f>IF(E10="","Fehlende Angabe","OK")</f>
        <v>Fehlende Angabe</v>
      </c>
    </row>
    <row r="11" spans="1:8" x14ac:dyDescent="0.25">
      <c r="B11" s="212"/>
      <c r="C11" s="29"/>
      <c r="D11" s="131" t="s">
        <v>213</v>
      </c>
      <c r="E11" s="166"/>
      <c r="F11" s="30"/>
      <c r="G11" s="103" t="s">
        <v>36</v>
      </c>
      <c r="H11" s="31" t="str">
        <f>IF(E11="","Fehlende Angabe","OK")</f>
        <v>Fehlende Angabe</v>
      </c>
    </row>
    <row r="12" spans="1:8" x14ac:dyDescent="0.25">
      <c r="B12" s="212"/>
      <c r="C12" s="29"/>
      <c r="D12" s="138" t="s">
        <v>201</v>
      </c>
      <c r="E12" s="104">
        <f>E11*0.5</f>
        <v>0</v>
      </c>
      <c r="F12" s="145" t="str">
        <f>IF(E12&lt;Hintergrunddaten!C116,"Achtung, Begrenzung der Fördersumme durch maximale Förderhöhe von 50 %!","")</f>
        <v/>
      </c>
      <c r="G12" s="30"/>
      <c r="H12" s="144"/>
    </row>
    <row r="13" spans="1:8" ht="26.25" customHeight="1" x14ac:dyDescent="0.25">
      <c r="B13" s="213"/>
      <c r="C13" s="32"/>
      <c r="D13" s="147" t="s">
        <v>197</v>
      </c>
      <c r="E13" s="117"/>
      <c r="F13" s="116"/>
      <c r="G13" s="116"/>
      <c r="H13" s="118"/>
    </row>
    <row r="15" spans="1:8" ht="18.75" x14ac:dyDescent="0.3">
      <c r="B15" s="217" t="s">
        <v>210</v>
      </c>
      <c r="C15" s="154" t="str">
        <f>Hintergrunddaten!B5</f>
        <v>Austauschprämie Zentralheizung</v>
      </c>
      <c r="D15" s="101"/>
      <c r="E15" s="101" t="str">
        <f>IF(C15=$E$6,"Aktiv","-")</f>
        <v>-</v>
      </c>
      <c r="F15" s="101"/>
      <c r="G15" s="102" t="s">
        <v>36</v>
      </c>
      <c r="H15" s="28" t="str">
        <f>IF(E15=Hintergrunddaten!$I$10,"OK","Programmpunkt Inaktiv")</f>
        <v>Programmpunkt Inaktiv</v>
      </c>
    </row>
    <row r="16" spans="1:8" x14ac:dyDescent="0.25">
      <c r="B16" s="218"/>
      <c r="C16" s="30"/>
      <c r="D16" s="30" t="s">
        <v>199</v>
      </c>
      <c r="E16" s="162"/>
      <c r="F16" s="30"/>
      <c r="G16" s="103" t="s">
        <v>36</v>
      </c>
      <c r="H16" s="31" t="str">
        <f>IF(E16="","Fehlende Angabe","OK")</f>
        <v>Fehlende Angabe</v>
      </c>
    </row>
    <row r="17" spans="2:8" x14ac:dyDescent="0.25">
      <c r="B17" s="218"/>
      <c r="C17" s="30"/>
      <c r="D17" s="30" t="s">
        <v>32</v>
      </c>
      <c r="E17" s="162"/>
      <c r="F17" s="30"/>
      <c r="G17" s="103" t="s">
        <v>36</v>
      </c>
      <c r="H17" s="31" t="str">
        <f>IF(E17="","Fehlende Angabe",IF(E16=Hintergrunddaten!E3,IF(ISNA(MATCH(E17,Hintergrunddaten!E4:E10,0))=TRUE(),"Anlage nicht förderbar","OK"),IF(E16=Hintergrunddaten!F3,IF(ISNA(MATCH(E17,Hintergrunddaten!F4:F10,0))=TRUE(),"Anlage nicht förderbar","OK"),IF(E16=Hintergrunddaten!G3,IF(ISNA(MATCH(E17,Hintergrunddaten!G4:G10,0))=TRUE(),"Anlage nicht förderbar","OK")))))</f>
        <v>Fehlende Angabe</v>
      </c>
    </row>
    <row r="18" spans="2:8" x14ac:dyDescent="0.25">
      <c r="B18" s="218"/>
      <c r="C18" s="30"/>
      <c r="D18" s="47" t="s">
        <v>38</v>
      </c>
      <c r="E18" s="104">
        <f>IF(AND(H15="OK",H16="OK",H17="OK")=TRUE(),VLOOKUP(E17,Hintergrunddaten!B17:C26,2,),0)</f>
        <v>0</v>
      </c>
      <c r="F18" s="149">
        <v>0</v>
      </c>
      <c r="G18" s="134" t="s">
        <v>206</v>
      </c>
      <c r="H18" s="135"/>
    </row>
    <row r="19" spans="2:8" x14ac:dyDescent="0.25">
      <c r="B19" s="218"/>
      <c r="C19" s="33"/>
      <c r="D19" s="116" t="s">
        <v>63</v>
      </c>
      <c r="E19" s="117" t="str">
        <f>Hintergrunddaten!I32&amp;" % der förderfähigen Kosten"</f>
        <v>50 % der förderfähigen Kosten</v>
      </c>
      <c r="F19" s="137"/>
      <c r="G19" s="136"/>
      <c r="H19" s="118"/>
    </row>
    <row r="20" spans="2:8" x14ac:dyDescent="0.25">
      <c r="B20" s="218"/>
      <c r="C20" s="150"/>
      <c r="D20" s="151"/>
      <c r="E20" s="152"/>
      <c r="F20" s="150"/>
      <c r="G20" s="150"/>
      <c r="H20" s="153"/>
    </row>
    <row r="21" spans="2:8" ht="18.75" x14ac:dyDescent="0.3">
      <c r="B21" s="218"/>
      <c r="C21" s="154" t="str">
        <f>Hintergrunddaten!B6</f>
        <v>Erneuerbare Energien</v>
      </c>
      <c r="D21" s="101"/>
      <c r="E21" s="101" t="str">
        <f>IF(C21=$E$6,"Aktiv","-")</f>
        <v>-</v>
      </c>
      <c r="F21" s="101"/>
      <c r="G21" s="102" t="s">
        <v>36</v>
      </c>
      <c r="H21" s="28" t="str">
        <f>IF(E21=Hintergrunddaten!$I$10,"OK","Programmpunkt Inaktiv")</f>
        <v>Programmpunkt Inaktiv</v>
      </c>
    </row>
    <row r="22" spans="2:8" ht="15" customHeight="1" x14ac:dyDescent="0.3">
      <c r="B22" s="218"/>
      <c r="C22" s="174"/>
      <c r="D22" s="30" t="s">
        <v>87</v>
      </c>
      <c r="E22" s="160"/>
      <c r="F22" s="30"/>
      <c r="G22" s="103" t="s">
        <v>36</v>
      </c>
      <c r="H22" s="31" t="str">
        <f>IF(E22="","Fehlende Angabe","OK")</f>
        <v>Fehlende Angabe</v>
      </c>
    </row>
    <row r="23" spans="2:8" x14ac:dyDescent="0.25">
      <c r="B23" s="218"/>
      <c r="C23" s="30"/>
      <c r="D23" s="109" t="s">
        <v>55</v>
      </c>
      <c r="E23" s="114" t="str">
        <f>IF(E22="","",VLOOKUP(E22,Hintergrunddaten!B28:C30,2,))</f>
        <v/>
      </c>
      <c r="F23" s="109" t="str">
        <f>IF(E22=Hintergrunddaten!B28,"pro m²","")</f>
        <v/>
      </c>
      <c r="G23" s="109"/>
      <c r="H23" s="115"/>
    </row>
    <row r="24" spans="2:8" x14ac:dyDescent="0.25">
      <c r="B24" s="218"/>
      <c r="C24" s="30"/>
      <c r="D24" s="109" t="str">
        <f>IF(E22="","",IF(E22=Hintergrunddaten!B28,"- Mindestanforderung: "&amp;Hintergrunddaten!E28&amp;" m² Kollektorfläche zur Heizungsunterstützung und/oder Trinkwarmwasserbereitung und 450 Liter Pufferspeichervolumen, max. "&amp;Hintergrunddaten!G28&amp;" m² Kollektorfläche","- Maximal ein Gerät förderbar"))</f>
        <v/>
      </c>
      <c r="E24" s="105"/>
      <c r="F24" s="30"/>
      <c r="G24" s="30"/>
      <c r="H24" s="31"/>
    </row>
    <row r="25" spans="2:8" x14ac:dyDescent="0.25">
      <c r="B25" s="218"/>
      <c r="C25" s="30"/>
      <c r="D25" s="109" t="str">
        <f>IF(E22=Hintergrunddaten!B28,"- Nutzbares Pufferspeichervolumen von mindestens "&amp;Hintergrunddaten!G14&amp;" Liter pro m² (Reduzierte Förderung bei geringerem Speichervolumen)","")</f>
        <v/>
      </c>
      <c r="E25" s="105"/>
      <c r="F25" s="30"/>
      <c r="G25" s="30"/>
      <c r="H25" s="31"/>
    </row>
    <row r="26" spans="2:8" x14ac:dyDescent="0.25">
      <c r="B26" s="218"/>
      <c r="C26" s="30"/>
      <c r="D26" s="110" t="str">
        <f>IF(E22=Hintergrunddaten!B28,"- Nicht Gegenstand der Förderung sind Anlagen, welche ausschließlich für die Beheizung von Schwimmbädern, Pools, Whirlpools o.ä. genutzt werden.","")</f>
        <v/>
      </c>
      <c r="E26" s="30"/>
      <c r="F26" s="30"/>
      <c r="G26" s="30"/>
      <c r="H26" s="31"/>
    </row>
    <row r="27" spans="2:8" x14ac:dyDescent="0.25">
      <c r="B27" s="218"/>
      <c r="C27" s="30"/>
      <c r="D27" s="30" t="s">
        <v>39</v>
      </c>
      <c r="E27" s="160"/>
      <c r="F27" s="30" t="s">
        <v>42</v>
      </c>
      <c r="G27" s="103" t="s">
        <v>36</v>
      </c>
      <c r="H27" s="31" t="str">
        <f>IF(E22=Hintergrunddaten!B28,IF(E27&lt;Hintergrunddaten!E28,"Anlage nicht förderbar","OK"),IF(E22="","Fehlende Angabe","OK"))</f>
        <v>Fehlende Angabe</v>
      </c>
    </row>
    <row r="28" spans="2:8" x14ac:dyDescent="0.25">
      <c r="B28" s="218"/>
      <c r="C28" s="30"/>
      <c r="D28" s="30" t="s">
        <v>40</v>
      </c>
      <c r="E28" s="160"/>
      <c r="F28" s="30" t="s">
        <v>41</v>
      </c>
      <c r="G28" s="103" t="s">
        <v>36</v>
      </c>
      <c r="H28" s="31" t="str">
        <f>IF(E22=Hintergrunddaten!B28,IF(E28&lt;Hintergrunddaten!E28*Hintergrunddaten!G14,"Anlage nicht förderbar","OK"),IF(E22="","Fehlende Angabe","OK"))</f>
        <v>Fehlende Angabe</v>
      </c>
    </row>
    <row r="29" spans="2:8" x14ac:dyDescent="0.25">
      <c r="B29" s="218"/>
      <c r="C29" s="30"/>
      <c r="D29" s="30" t="str">
        <f>IF(E22=Hintergrunddaten!B28,"Förderfähige Kollektorfläche in m²","Anzahl der geförderten Geräte")</f>
        <v>Anzahl der geförderten Geräte</v>
      </c>
      <c r="E29" s="175">
        <f>IF(E22=Hintergrunddaten!B28,IF(MIN(ROUND(E27,0),ROUND(E28/Hintergrunddaten!G14,0))&lt;Hintergrunddaten!E28,0,IF(MIN(ROUND(E27,0),ROUND(E28/Hintergrunddaten!G14,0))&gt;Hintergrunddaten!G28,Hintergrunddaten!G28,MIN(ROUND(E27,0),ROUND(E28/Hintergrunddaten!G14,0)))),1)</f>
        <v>1</v>
      </c>
      <c r="F29" s="30"/>
      <c r="G29" s="103"/>
      <c r="H29" s="31"/>
    </row>
    <row r="30" spans="2:8" x14ac:dyDescent="0.25">
      <c r="B30" s="218"/>
      <c r="C30" s="30"/>
      <c r="D30" s="47" t="s">
        <v>52</v>
      </c>
      <c r="E30" s="104">
        <f>IF(AND(H21="OK",H22="OK",H27="OK",H28="OK")=TRUE(),E23*E29,0)</f>
        <v>0</v>
      </c>
      <c r="F30" s="47"/>
      <c r="G30" s="30"/>
      <c r="H30" s="107"/>
    </row>
    <row r="31" spans="2:8" x14ac:dyDescent="0.25">
      <c r="B31" s="218"/>
      <c r="C31" s="33"/>
      <c r="D31" s="116" t="s">
        <v>63</v>
      </c>
      <c r="E31" s="117" t="str">
        <f>Hintergrunddaten!I28&amp;" % der förderfähigen Kosten"</f>
        <v>50 % der förderfähigen Kosten</v>
      </c>
      <c r="F31" s="117" t="str">
        <f>Hintergrunddaten!J28&amp;" % der förderfähigen Kosten"</f>
        <v xml:space="preserve"> % der förderfähigen Kosten</v>
      </c>
      <c r="G31" s="117" t="str">
        <f>Hintergrunddaten!K28&amp;" % der förderfähigen Kosten"</f>
        <v xml:space="preserve"> % der förderfähigen Kosten</v>
      </c>
      <c r="H31" s="118"/>
    </row>
    <row r="32" spans="2:8" x14ac:dyDescent="0.25">
      <c r="B32" s="218"/>
      <c r="C32" s="150"/>
      <c r="D32" s="150"/>
      <c r="E32" s="150"/>
      <c r="F32" s="150"/>
      <c r="G32" s="150"/>
      <c r="H32" s="153"/>
    </row>
    <row r="33" spans="2:8" ht="18.75" x14ac:dyDescent="0.3">
      <c r="B33" s="218"/>
      <c r="C33" s="154" t="str">
        <f>Hintergrunddaten!B46</f>
        <v>Lüftungsanlage</v>
      </c>
      <c r="D33" s="101"/>
      <c r="E33" s="101" t="str">
        <f>IF(C33=$E$6,"Aktiv","-")</f>
        <v>-</v>
      </c>
      <c r="F33" s="101"/>
      <c r="G33" s="102" t="s">
        <v>36</v>
      </c>
      <c r="H33" s="28" t="str">
        <f>IF(E33=Hintergrunddaten!$I$10,"OK","Programmpunkt Inaktiv")</f>
        <v>Programmpunkt Inaktiv</v>
      </c>
    </row>
    <row r="34" spans="2:8" x14ac:dyDescent="0.25">
      <c r="B34" s="218"/>
      <c r="C34" s="30"/>
      <c r="D34" s="30" t="s">
        <v>76</v>
      </c>
      <c r="E34" s="162"/>
      <c r="F34" s="30"/>
      <c r="G34" s="103" t="s">
        <v>36</v>
      </c>
      <c r="H34" s="31" t="str">
        <f>IF(E34="","Fehlende Angabe","OK")</f>
        <v>Fehlende Angabe</v>
      </c>
    </row>
    <row r="35" spans="2:8" x14ac:dyDescent="0.25">
      <c r="B35" s="218"/>
      <c r="C35" s="30"/>
      <c r="D35" s="30" t="s">
        <v>55</v>
      </c>
      <c r="E35" s="105" t="str">
        <f>IF(E34="","-",VLOOKUP(Antragsdaten!E34,Hintergrunddaten!B47:C48,2,))</f>
        <v>-</v>
      </c>
      <c r="F35" s="30" t="str">
        <f>IF(E34="","",IF(E34=Hintergrunddaten!E13,"","pro Lüftungsgerät"))</f>
        <v/>
      </c>
      <c r="G35" s="30"/>
      <c r="H35" s="31"/>
    </row>
    <row r="36" spans="2:8" x14ac:dyDescent="0.25">
      <c r="B36" s="218"/>
      <c r="C36" s="30"/>
      <c r="D36" s="106" t="s">
        <v>74</v>
      </c>
      <c r="E36" s="163"/>
      <c r="F36" s="30" t="s">
        <v>73</v>
      </c>
      <c r="G36" s="103" t="s">
        <v>36</v>
      </c>
      <c r="H36" s="31" t="str">
        <f>IF(E34=Hintergrunddaten!E13,IF(E36&lt;Hintergrunddaten!E47,"Anlage nicht förderbar","OK"),IF(E36&lt;Hintergrunddaten!E48,"Anlage erst ab 2 Geräten förderbar","OK"))</f>
        <v>Anlage erst ab 2 Geräten förderbar</v>
      </c>
    </row>
    <row r="37" spans="2:8" x14ac:dyDescent="0.25">
      <c r="B37" s="218"/>
      <c r="C37" s="30"/>
      <c r="D37" s="47" t="s">
        <v>52</v>
      </c>
      <c r="E37" s="104">
        <f>IF(AND(H33="OK",H34="OK",H36="OK")=TRUE(),IF((ROUNDDOWN(E36,0)*E35)&lt;VLOOKUP(E34,Hintergrunddaten!B47:I48,7,),(ROUNDDOWN(E36,0)*E35),VLOOKUP(E34,Hintergrunddaten!B47:G48,6,)*E35),0)</f>
        <v>0</v>
      </c>
      <c r="F37" s="47"/>
      <c r="G37" s="47"/>
      <c r="H37" s="107"/>
    </row>
    <row r="38" spans="2:8" x14ac:dyDescent="0.25">
      <c r="B38" s="218"/>
      <c r="C38" s="116"/>
      <c r="D38" s="116" t="s">
        <v>63</v>
      </c>
      <c r="E38" s="117" t="str">
        <f>Hintergrunddaten!I48&amp;" % der förderfähigen Kosten"</f>
        <v>50 % der förderfähigen Kosten</v>
      </c>
      <c r="F38" s="116"/>
      <c r="G38" s="116"/>
      <c r="H38" s="118"/>
    </row>
    <row r="39" spans="2:8" x14ac:dyDescent="0.25">
      <c r="B39" s="218"/>
      <c r="C39" s="150"/>
      <c r="D39" s="150"/>
      <c r="E39" s="150"/>
      <c r="F39" s="150"/>
      <c r="G39" s="150"/>
      <c r="H39" s="153"/>
    </row>
    <row r="40" spans="2:8" ht="18.75" x14ac:dyDescent="0.3">
      <c r="B40" s="218"/>
      <c r="C40" s="154" t="str">
        <f>Hintergrunddaten!B33</f>
        <v>Regenwasserzisterne</v>
      </c>
      <c r="D40" s="101"/>
      <c r="E40" s="101" t="str">
        <f>IF(C40=$E$6,"Aktiv","-")</f>
        <v>-</v>
      </c>
      <c r="F40" s="101"/>
      <c r="G40" s="102" t="s">
        <v>36</v>
      </c>
      <c r="H40" s="28" t="str">
        <f>IF(E40=Hintergrunddaten!$I$10,"OK","Programmpunkt Inaktiv")</f>
        <v>Programmpunkt Inaktiv</v>
      </c>
    </row>
    <row r="41" spans="2:8" x14ac:dyDescent="0.25">
      <c r="B41" s="218"/>
      <c r="C41" s="30"/>
      <c r="D41" s="30" t="s">
        <v>76</v>
      </c>
      <c r="E41" s="162"/>
      <c r="F41" s="30"/>
      <c r="G41" s="103" t="s">
        <v>36</v>
      </c>
      <c r="H41" s="31" t="str">
        <f>IF(E41="","Fehlende Angabe","OK")</f>
        <v>Fehlende Angabe</v>
      </c>
    </row>
    <row r="42" spans="2:8" x14ac:dyDescent="0.25">
      <c r="B42" s="218"/>
      <c r="C42" s="30"/>
      <c r="D42" s="30" t="s">
        <v>270</v>
      </c>
      <c r="E42" s="189"/>
      <c r="F42" s="30" t="s">
        <v>41</v>
      </c>
      <c r="G42" s="103" t="s">
        <v>36</v>
      </c>
      <c r="H42" s="31" t="str">
        <f>IF(E42="","Fehlende Angabe",IF(E42&lt;Hintergrunddaten!$H$14,"Volumen zu gering","OK"))</f>
        <v>Fehlende Angabe</v>
      </c>
    </row>
    <row r="43" spans="2:8" x14ac:dyDescent="0.25">
      <c r="B43" s="218"/>
      <c r="C43" s="30"/>
      <c r="D43" s="30" t="s">
        <v>55</v>
      </c>
      <c r="E43" s="105">
        <f>IF(E41="",0,VLOOKUP(E41,Hintergrunddaten!B34:C35,2,))</f>
        <v>0</v>
      </c>
      <c r="F43" s="30"/>
      <c r="G43" s="30"/>
      <c r="H43" s="31"/>
    </row>
    <row r="44" spans="2:8" ht="30" customHeight="1" x14ac:dyDescent="0.25">
      <c r="B44" s="218"/>
      <c r="C44" s="193"/>
      <c r="D44" s="194" t="s">
        <v>52</v>
      </c>
      <c r="E44" s="195">
        <f>IF(AND(H40="OK",H41="OK",H42="OK")=TRUE(),E43,0)</f>
        <v>0</v>
      </c>
      <c r="F44" s="193"/>
      <c r="G44" s="193"/>
      <c r="H44" s="196"/>
    </row>
    <row r="45" spans="2:8" x14ac:dyDescent="0.25">
      <c r="B45" s="218"/>
      <c r="C45" s="190"/>
      <c r="D45" s="191"/>
      <c r="E45" s="191"/>
      <c r="F45" s="191"/>
      <c r="G45" s="191"/>
      <c r="H45" s="192"/>
    </row>
    <row r="46" spans="2:8" ht="18.75" x14ac:dyDescent="0.3">
      <c r="B46" s="218"/>
      <c r="C46" s="154" t="str">
        <f>Hintergrunddaten!B9</f>
        <v>Thermische Gebäudehülle</v>
      </c>
      <c r="D46" s="101"/>
      <c r="E46" s="101" t="str">
        <f>IF(C46=$E$6,"Aktiv","-")</f>
        <v>-</v>
      </c>
      <c r="F46" s="101"/>
      <c r="G46" s="102" t="s">
        <v>36</v>
      </c>
      <c r="H46" s="28" t="str">
        <f>IF(E46=Hintergrunddaten!$I$10,"OK","Programmpunkt Inaktiv")</f>
        <v>Programmpunkt Inaktiv</v>
      </c>
    </row>
    <row r="47" spans="2:8" x14ac:dyDescent="0.25">
      <c r="B47" s="218"/>
      <c r="C47" s="30"/>
      <c r="D47" s="30"/>
      <c r="E47" s="30"/>
      <c r="F47" s="30"/>
      <c r="G47" s="30"/>
      <c r="H47" s="31"/>
    </row>
    <row r="48" spans="2:8" x14ac:dyDescent="0.25">
      <c r="B48" s="218"/>
      <c r="C48" s="30"/>
      <c r="D48" s="47" t="str">
        <f>Hintergrunddaten!B37</f>
        <v>Außenwanddämmung</v>
      </c>
      <c r="E48" s="170"/>
      <c r="F48" s="30"/>
      <c r="G48" s="103"/>
      <c r="H48" s="31"/>
    </row>
    <row r="49" spans="2:8" x14ac:dyDescent="0.25">
      <c r="B49" s="218"/>
      <c r="C49" s="30"/>
      <c r="D49" s="113" t="s">
        <v>67</v>
      </c>
      <c r="E49" s="179">
        <f>Hintergrunddaten!C37</f>
        <v>16</v>
      </c>
      <c r="F49" s="109"/>
      <c r="G49" s="109" t="str">
        <f>"Förderfähige Flächen: "&amp;Hintergrunddaten!E37&amp; " m² bis " &amp;Hintergrunddaten!G37 &amp;" m²"</f>
        <v>Förderfähige Flächen: 20 m² bis 400 m²</v>
      </c>
      <c r="H49" s="115"/>
    </row>
    <row r="50" spans="2:8" x14ac:dyDescent="0.25">
      <c r="B50" s="218"/>
      <c r="C50" s="30"/>
      <c r="D50" s="109" t="str">
        <f>"- "&amp;Hintergrunddaten!B38</f>
        <v>- Zusätzlich: Ökobonus</v>
      </c>
      <c r="E50" s="179">
        <f>Hintergrunddaten!C38</f>
        <v>8</v>
      </c>
      <c r="F50" s="109"/>
      <c r="G50" s="109" t="s">
        <v>62</v>
      </c>
      <c r="H50" s="115"/>
    </row>
    <row r="51" spans="2:8" x14ac:dyDescent="0.25">
      <c r="B51" s="218"/>
      <c r="C51" s="30"/>
      <c r="D51" s="30" t="s">
        <v>101</v>
      </c>
      <c r="E51" s="160"/>
      <c r="F51" s="30" t="s">
        <v>42</v>
      </c>
      <c r="G51" s="103" t="s">
        <v>36</v>
      </c>
      <c r="H51" s="31" t="str">
        <f>IF(E51&lt;Hintergrunddaten!E37,"Unterpunkt nicht förderbar","OK")</f>
        <v>Unterpunkt nicht förderbar</v>
      </c>
    </row>
    <row r="52" spans="2:8" x14ac:dyDescent="0.25">
      <c r="B52" s="218"/>
      <c r="C52" s="30"/>
      <c r="D52" s="30" t="s">
        <v>144</v>
      </c>
      <c r="E52" s="163"/>
      <c r="F52" s="30"/>
      <c r="G52" s="103" t="s">
        <v>36</v>
      </c>
      <c r="H52" s="31" t="str">
        <f>IF(E52="","Fehlende Angabe","OK")</f>
        <v>Fehlende Angabe</v>
      </c>
    </row>
    <row r="53" spans="2:8" x14ac:dyDescent="0.25">
      <c r="B53" s="218"/>
      <c r="C53" s="30"/>
      <c r="D53" s="47" t="s">
        <v>38</v>
      </c>
      <c r="E53" s="104">
        <f>IF(AND(H51="OK",H52="OK")=TRUE(),IF(ROUND(E51,0)&gt;Hintergrunddaten!G37,(E49+IF(E52="Ja",E50,0))*Hintergrunddaten!G37,(E49+IF(E52="Ja",E50,0))*ROUND(E51,0)),0)</f>
        <v>0</v>
      </c>
      <c r="F53" s="30"/>
      <c r="G53" s="30"/>
      <c r="H53" s="31"/>
    </row>
    <row r="54" spans="2:8" x14ac:dyDescent="0.25">
      <c r="B54" s="218"/>
      <c r="C54" s="30"/>
      <c r="D54" s="30"/>
      <c r="E54" s="104"/>
      <c r="F54" s="30"/>
      <c r="G54" s="30"/>
      <c r="H54" s="31"/>
    </row>
    <row r="55" spans="2:8" x14ac:dyDescent="0.25">
      <c r="B55" s="218"/>
      <c r="C55" s="30"/>
      <c r="D55" s="47" t="str">
        <f>Hintergrunddaten!B39</f>
        <v>Dämmung Oberste Geschossdecke/Dach</v>
      </c>
      <c r="E55" s="104"/>
      <c r="F55" s="30"/>
      <c r="G55" s="103"/>
      <c r="H55" s="31"/>
    </row>
    <row r="56" spans="2:8" x14ac:dyDescent="0.25">
      <c r="B56" s="218"/>
      <c r="C56" s="30"/>
      <c r="D56" s="113" t="s">
        <v>67</v>
      </c>
      <c r="E56" s="179">
        <f>Hintergrunddaten!C39</f>
        <v>10</v>
      </c>
      <c r="F56" s="109"/>
      <c r="G56" s="109" t="str">
        <f>"Förderfähige Flächen: "&amp;Hintergrunddaten!E39&amp; " m² bis " &amp;Hintergrunddaten!G39 &amp;" m²"</f>
        <v>Förderfähige Flächen: 20 m² bis 200 m²</v>
      </c>
      <c r="H56" s="115"/>
    </row>
    <row r="57" spans="2:8" x14ac:dyDescent="0.25">
      <c r="B57" s="218"/>
      <c r="C57" s="30"/>
      <c r="D57" s="109" t="str">
        <f>"- "&amp;Hintergrunddaten!B40</f>
        <v>- Zusätzlich: Ökobonus</v>
      </c>
      <c r="E57" s="179">
        <f>Hintergrunddaten!C40</f>
        <v>8</v>
      </c>
      <c r="F57" s="109"/>
      <c r="G57" s="109" t="s">
        <v>62</v>
      </c>
      <c r="H57" s="115"/>
    </row>
    <row r="58" spans="2:8" x14ac:dyDescent="0.25">
      <c r="B58" s="218"/>
      <c r="C58" s="30"/>
      <c r="D58" s="30" t="s">
        <v>100</v>
      </c>
      <c r="E58" s="160"/>
      <c r="F58" s="30" t="s">
        <v>42</v>
      </c>
      <c r="G58" s="103" t="s">
        <v>36</v>
      </c>
      <c r="H58" s="31" t="str">
        <f>IF(E58&lt;Hintergrunddaten!E39,"Unterpunkt nicht förderbar","OK")</f>
        <v>Unterpunkt nicht förderbar</v>
      </c>
    </row>
    <row r="59" spans="2:8" x14ac:dyDescent="0.25">
      <c r="B59" s="218"/>
      <c r="C59" s="30"/>
      <c r="D59" s="30" t="s">
        <v>144</v>
      </c>
      <c r="E59" s="163"/>
      <c r="F59" s="30"/>
      <c r="G59" s="103" t="s">
        <v>36</v>
      </c>
      <c r="H59" s="31" t="str">
        <f>IF(E59="","Fehlende Angabe","OK")</f>
        <v>Fehlende Angabe</v>
      </c>
    </row>
    <row r="60" spans="2:8" x14ac:dyDescent="0.25">
      <c r="B60" s="218"/>
      <c r="C60" s="30"/>
      <c r="D60" s="47" t="s">
        <v>38</v>
      </c>
      <c r="E60" s="104">
        <f>IF(AND(H58="OK",H59="OK")=TRUE(),IF(ROUND(E58,0)&gt;Hintergrunddaten!G37,(E56+IF(E59="Ja",E57,0))*Hintergrunddaten!G37,(E56+IF(E59="Ja",E57,0))*ROUND(E58,0)),0)</f>
        <v>0</v>
      </c>
      <c r="F60" s="30"/>
      <c r="G60" s="30"/>
      <c r="H60" s="31"/>
    </row>
    <row r="61" spans="2:8" x14ac:dyDescent="0.25">
      <c r="B61" s="218"/>
      <c r="C61" s="30"/>
      <c r="D61" s="30"/>
      <c r="E61" s="30"/>
      <c r="F61" s="30"/>
      <c r="G61" s="30"/>
      <c r="H61" s="31"/>
    </row>
    <row r="62" spans="2:8" x14ac:dyDescent="0.25">
      <c r="B62" s="218"/>
      <c r="C62" s="30"/>
      <c r="D62" s="47" t="str">
        <f>Hintergrunddaten!B41</f>
        <v>Dämmung Kellerdecke/Bodenplatte</v>
      </c>
      <c r="E62" s="30"/>
      <c r="F62" s="30"/>
      <c r="G62" s="30"/>
      <c r="H62" s="31"/>
    </row>
    <row r="63" spans="2:8" x14ac:dyDescent="0.25">
      <c r="B63" s="218"/>
      <c r="C63" s="30"/>
      <c r="D63" s="113" t="s">
        <v>67</v>
      </c>
      <c r="E63" s="179">
        <f>Hintergrunddaten!C41</f>
        <v>8</v>
      </c>
      <c r="F63" s="109"/>
      <c r="G63" s="109" t="str">
        <f>"Förderfähige Flächen: "&amp;Hintergrunddaten!E41&amp; " m² bis " &amp;Hintergrunddaten!G41&amp;" m²"</f>
        <v>Förderfähige Flächen: 20 m² bis 200 m²</v>
      </c>
      <c r="H63" s="115"/>
    </row>
    <row r="64" spans="2:8" x14ac:dyDescent="0.25">
      <c r="B64" s="218"/>
      <c r="C64" s="30"/>
      <c r="D64" s="109" t="str">
        <f>"- "&amp;Hintergrunddaten!B42</f>
        <v>- Zusätzlich: Ökobonus</v>
      </c>
      <c r="E64" s="179">
        <f>Hintergrunddaten!C42</f>
        <v>8</v>
      </c>
      <c r="F64" s="109"/>
      <c r="G64" s="109" t="s">
        <v>62</v>
      </c>
      <c r="H64" s="115"/>
    </row>
    <row r="65" spans="2:8" x14ac:dyDescent="0.25">
      <c r="B65" s="218"/>
      <c r="C65" s="30"/>
      <c r="D65" s="30" t="s">
        <v>99</v>
      </c>
      <c r="E65" s="160"/>
      <c r="F65" s="30" t="s">
        <v>42</v>
      </c>
      <c r="G65" s="103" t="s">
        <v>36</v>
      </c>
      <c r="H65" s="31" t="str">
        <f>IF(E65&lt;Hintergrunddaten!E41,"Unterpunkt nicht förderbar","OK")</f>
        <v>Unterpunkt nicht förderbar</v>
      </c>
    </row>
    <row r="66" spans="2:8" x14ac:dyDescent="0.25">
      <c r="B66" s="218"/>
      <c r="C66" s="30"/>
      <c r="D66" s="30" t="s">
        <v>144</v>
      </c>
      <c r="E66" s="163"/>
      <c r="F66" s="30"/>
      <c r="G66" s="103" t="s">
        <v>36</v>
      </c>
      <c r="H66" s="31" t="str">
        <f>IF(E66="","Fehlende Angabe","OK")</f>
        <v>Fehlende Angabe</v>
      </c>
    </row>
    <row r="67" spans="2:8" x14ac:dyDescent="0.25">
      <c r="B67" s="218"/>
      <c r="C67" s="30"/>
      <c r="D67" s="47" t="s">
        <v>38</v>
      </c>
      <c r="E67" s="104">
        <f>IF(AND(H65="OK",H66="OK")=TRUE(),IF(IF(E66="Ja",ROUND(E65,0)*E63+ROUND(E65,0)*E64,ROUND(E65,0)*E63)&lt;E68,IF(E66="Ja",ROUND(E65,0)*E63+ROUND(E65,0)*E64,ROUND(E65,0)*E63),E68),0)</f>
        <v>0</v>
      </c>
      <c r="F67" s="30"/>
      <c r="G67" s="30"/>
      <c r="H67" s="31"/>
    </row>
    <row r="68" spans="2:8" x14ac:dyDescent="0.25">
      <c r="B68" s="218"/>
      <c r="C68" s="30"/>
      <c r="D68" s="45" t="s">
        <v>61</v>
      </c>
      <c r="E68" s="108">
        <f>IF(E66="Ja",Hintergrunddaten!H41+Hintergrunddaten!H42,Hintergrunddaten!H41)</f>
        <v>1600</v>
      </c>
      <c r="F68" s="133">
        <f>IF(E65&lt;Hintergrunddaten!E41,0,IF(E66="Ja",Hintergrunddaten!F41+Hintergrunddaten!F42,Hintergrunddaten!F41))</f>
        <v>0</v>
      </c>
      <c r="G68" s="134" t="s">
        <v>205</v>
      </c>
      <c r="H68" s="31"/>
    </row>
    <row r="69" spans="2:8" x14ac:dyDescent="0.25">
      <c r="B69" s="218"/>
      <c r="C69" s="30"/>
      <c r="D69" s="45"/>
      <c r="E69" s="108"/>
      <c r="F69" s="133"/>
      <c r="G69" s="134"/>
      <c r="H69" s="31"/>
    </row>
    <row r="70" spans="2:8" x14ac:dyDescent="0.25">
      <c r="B70" s="218"/>
      <c r="C70" s="30"/>
      <c r="D70" s="47" t="s">
        <v>239</v>
      </c>
      <c r="E70" s="30"/>
      <c r="F70" s="30"/>
      <c r="G70" s="30"/>
      <c r="H70" s="31"/>
    </row>
    <row r="71" spans="2:8" x14ac:dyDescent="0.25">
      <c r="B71" s="218"/>
      <c r="C71" s="30"/>
      <c r="D71" s="113" t="s">
        <v>248</v>
      </c>
      <c r="E71" s="179" t="str">
        <f>IF(E73="","Bitte Fenster wählen",VLOOKUP(E73,Hintergrunddaten!B43:D44,2,))</f>
        <v>Bitte Fenster wählen</v>
      </c>
      <c r="F71" s="109"/>
      <c r="G71" s="109" t="str">
        <f>"Förderfähige Flächen: "&amp;Hintergrunddaten!E43&amp; " m² bis " &amp;Hintergrunddaten!G43&amp;" m²"</f>
        <v>Förderfähige Flächen: 5 m² bis 30 m²</v>
      </c>
      <c r="H71" s="115"/>
    </row>
    <row r="72" spans="2:8" x14ac:dyDescent="0.25">
      <c r="B72" s="218"/>
      <c r="C72" s="30"/>
      <c r="D72" s="113" t="s">
        <v>241</v>
      </c>
      <c r="E72" s="179">
        <f>Hintergrunddaten!C45</f>
        <v>40</v>
      </c>
      <c r="F72" s="109"/>
      <c r="G72" s="109" t="s">
        <v>243</v>
      </c>
      <c r="H72" s="115"/>
    </row>
    <row r="73" spans="2:8" x14ac:dyDescent="0.25">
      <c r="B73" s="218"/>
      <c r="C73" s="30"/>
      <c r="D73" s="30" t="s">
        <v>240</v>
      </c>
      <c r="E73" s="160"/>
      <c r="F73" s="30"/>
      <c r="G73" s="103" t="s">
        <v>36</v>
      </c>
      <c r="H73" s="31" t="str">
        <f>IF(E73="","Fehlende Angabe","OK")</f>
        <v>Fehlende Angabe</v>
      </c>
    </row>
    <row r="74" spans="2:8" x14ac:dyDescent="0.25">
      <c r="B74" s="218"/>
      <c r="C74" s="30"/>
      <c r="D74" s="30" t="s">
        <v>242</v>
      </c>
      <c r="E74" s="160"/>
      <c r="F74" s="30" t="s">
        <v>42</v>
      </c>
      <c r="G74" s="103" t="s">
        <v>36</v>
      </c>
      <c r="H74" s="31" t="str">
        <f>IF(E74&lt;Hintergrunddaten!E43,"Unterpunkt nicht förderbar","OK")</f>
        <v>Unterpunkt nicht förderbar</v>
      </c>
    </row>
    <row r="75" spans="2:8" x14ac:dyDescent="0.25">
      <c r="B75" s="218"/>
      <c r="C75" s="30"/>
      <c r="D75" s="178" t="s">
        <v>249</v>
      </c>
      <c r="E75" s="160"/>
      <c r="F75" s="30" t="s">
        <v>42</v>
      </c>
      <c r="G75" s="103" t="s">
        <v>36</v>
      </c>
      <c r="H75" s="31" t="str">
        <f>IF(E75="","Fehlende Angabe",IF(E75&lt;Hintergrunddaten!E45,"Unterpunkt nicht förderbar",IF(E75&gt;E74,"Angaben prüfen, Fläche größer als Gesamtfläche","OK")))</f>
        <v>Fehlende Angabe</v>
      </c>
    </row>
    <row r="76" spans="2:8" x14ac:dyDescent="0.25">
      <c r="B76" s="218"/>
      <c r="C76" s="30"/>
      <c r="D76" s="47" t="s">
        <v>38</v>
      </c>
      <c r="E76" s="104">
        <f>IF(AND(H73="OK",H74="OK",H75="OK")=TRUE(),IF(ROUND(E74,0)&gt;Hintergrunddaten!G43,E71*Hintergrunddaten!G43,E71*ROUND(E74,0))+IF(ROUND(E75,0)&gt;Hintergrunddaten!G45,Hintergrunddaten!G45*E72,ROUND(E75,0)*E72),0)</f>
        <v>0</v>
      </c>
      <c r="F76" s="30"/>
      <c r="G76" s="30"/>
      <c r="H76" s="31"/>
    </row>
    <row r="77" spans="2:8" x14ac:dyDescent="0.25">
      <c r="B77" s="218"/>
      <c r="C77" s="30"/>
      <c r="D77" s="30"/>
      <c r="E77" s="30"/>
      <c r="F77" s="134"/>
      <c r="G77" s="134"/>
      <c r="H77" s="31"/>
    </row>
    <row r="78" spans="2:8" x14ac:dyDescent="0.25">
      <c r="B78" s="218"/>
      <c r="C78" s="30"/>
      <c r="D78" s="47" t="s">
        <v>200</v>
      </c>
      <c r="E78" s="104">
        <f>IF((AND(H46="OK")=TRUE()),E53+E60+E67+E76,0)</f>
        <v>0</v>
      </c>
      <c r="F78" s="149">
        <f>IF(H46="OK",#REF!+#REF!+F68,0)</f>
        <v>0</v>
      </c>
      <c r="G78" s="134" t="s">
        <v>206</v>
      </c>
      <c r="H78" s="135"/>
    </row>
    <row r="79" spans="2:8" x14ac:dyDescent="0.25">
      <c r="B79" s="218"/>
      <c r="C79" s="33"/>
      <c r="D79" s="116" t="s">
        <v>63</v>
      </c>
      <c r="E79" s="117" t="str">
        <f>Hintergrunddaten!I37&amp;" % der förderfähigen Kosten"</f>
        <v>50 % der förderfähigen Kosten</v>
      </c>
      <c r="F79" s="117" t="str">
        <f>Hintergrunddaten!J37&amp;" % der förderfähigen Kosten"</f>
        <v xml:space="preserve"> % der förderfähigen Kosten</v>
      </c>
      <c r="G79" s="117" t="str">
        <f>Hintergrunddaten!K37&amp;" % der förderfähigen Kosten"</f>
        <v xml:space="preserve"> % der förderfähigen Kosten</v>
      </c>
      <c r="H79" s="139" t="str">
        <f>Hintergrunddaten!L37&amp;" % der förderfähigen Kosten"</f>
        <v xml:space="preserve"> % der förderfähigen Kosten</v>
      </c>
    </row>
    <row r="80" spans="2:8" x14ac:dyDescent="0.25">
      <c r="B80" s="218"/>
      <c r="C80" s="150"/>
      <c r="D80" s="150"/>
      <c r="E80" s="150"/>
      <c r="F80" s="150"/>
      <c r="G80" s="150"/>
      <c r="H80" s="153"/>
    </row>
    <row r="81" spans="2:8" ht="18.75" x14ac:dyDescent="0.3">
      <c r="B81" s="218"/>
      <c r="C81" s="154" t="str">
        <f>Hintergrunddaten!B10</f>
        <v>Stromspeicher</v>
      </c>
      <c r="D81" s="101"/>
      <c r="E81" s="101" t="str">
        <f>IF(C81=$E$6,"Aktiv","-")</f>
        <v>-</v>
      </c>
      <c r="F81" s="101"/>
      <c r="G81" s="102" t="s">
        <v>36</v>
      </c>
      <c r="H81" s="28" t="str">
        <f>IF(E81=Hintergrunddaten!$I$10,"OK","Programmpunkt Inaktiv")</f>
        <v>Programmpunkt Inaktiv</v>
      </c>
    </row>
    <row r="82" spans="2:8" x14ac:dyDescent="0.25">
      <c r="B82" s="218"/>
      <c r="C82" s="30"/>
      <c r="D82" s="30" t="s">
        <v>55</v>
      </c>
      <c r="E82" s="180">
        <f>Hintergrunddaten!C32</f>
        <v>100</v>
      </c>
      <c r="F82" s="30"/>
      <c r="G82" s="30"/>
      <c r="H82" s="31"/>
    </row>
    <row r="83" spans="2:8" ht="24.75" customHeight="1" x14ac:dyDescent="0.25">
      <c r="B83" s="218"/>
      <c r="C83" s="30"/>
      <c r="D83" s="110" t="str">
        <f>"- Mindestanforderung: "&amp;Hintergrunddaten!E32&amp;" kWh nutzbare Speicherkapazität, maximal förderbar: "&amp;Hintergrunddaten!G32&amp; " kWh"</f>
        <v>- Mindestanforderung: 5 kWh nutzbare Speicherkapazität, maximal förderbar: 30 kWh</v>
      </c>
      <c r="E83" s="105"/>
      <c r="F83" s="30"/>
      <c r="G83" s="30"/>
      <c r="H83" s="31"/>
    </row>
    <row r="84" spans="2:8" x14ac:dyDescent="0.25">
      <c r="B84" s="218"/>
      <c r="C84" s="30"/>
      <c r="D84" s="30" t="s">
        <v>257</v>
      </c>
      <c r="E84" s="160"/>
      <c r="F84" s="30" t="s">
        <v>54</v>
      </c>
      <c r="G84" s="103" t="s">
        <v>36</v>
      </c>
      <c r="H84" s="31" t="str">
        <f>IF(E84&lt;5,"Anlage nicht förderbar","OK")</f>
        <v>Anlage nicht förderbar</v>
      </c>
    </row>
    <row r="85" spans="2:8" x14ac:dyDescent="0.25">
      <c r="B85" s="218"/>
      <c r="C85" s="30"/>
      <c r="D85" s="30" t="s">
        <v>234</v>
      </c>
      <c r="E85" s="160"/>
      <c r="F85" s="30" t="s">
        <v>53</v>
      </c>
      <c r="G85" s="177" t="s">
        <v>235</v>
      </c>
      <c r="H85" s="31"/>
    </row>
    <row r="86" spans="2:8" x14ac:dyDescent="0.25">
      <c r="B86" s="218"/>
      <c r="C86" s="30"/>
      <c r="D86" s="30" t="s">
        <v>77</v>
      </c>
      <c r="E86" s="176">
        <f>IF(E84&lt;Hintergrunddaten!E32,0,IF(E84&gt;Hintergrunddaten!G32,0,ROUNDDOWN(E84,0)))</f>
        <v>0</v>
      </c>
      <c r="F86" s="30"/>
      <c r="G86" s="30"/>
      <c r="H86" s="31"/>
    </row>
    <row r="87" spans="2:8" x14ac:dyDescent="0.25">
      <c r="B87" s="218"/>
      <c r="C87" s="30"/>
      <c r="D87" s="47" t="s">
        <v>52</v>
      </c>
      <c r="E87" s="104">
        <f>IF(AND(H81="OK",H84="OK")=TRUE(),E82*E86,0)</f>
        <v>0</v>
      </c>
      <c r="F87" s="30"/>
      <c r="G87" s="30"/>
      <c r="H87" s="31"/>
    </row>
    <row r="88" spans="2:8" x14ac:dyDescent="0.25">
      <c r="B88" s="218"/>
      <c r="C88" s="33"/>
      <c r="D88" s="116" t="s">
        <v>63</v>
      </c>
      <c r="E88" s="117" t="str">
        <f>Hintergrunddaten!I46&amp;" % der förderfähigen Kosten"</f>
        <v xml:space="preserve"> % der förderfähigen Kosten</v>
      </c>
      <c r="F88" s="116"/>
      <c r="G88" s="116"/>
      <c r="H88" s="118"/>
    </row>
    <row r="89" spans="2:8" x14ac:dyDescent="0.25">
      <c r="B89" s="218"/>
      <c r="C89" s="150"/>
      <c r="D89" s="150"/>
      <c r="E89" s="150"/>
      <c r="F89" s="150"/>
      <c r="G89" s="150"/>
      <c r="H89" s="153"/>
    </row>
    <row r="90" spans="2:8" ht="18.75" x14ac:dyDescent="0.3">
      <c r="B90" s="218"/>
      <c r="C90" s="154" t="str">
        <f>Hintergrunddaten!B49</f>
        <v>Balkonkraftwerk</v>
      </c>
      <c r="D90" s="101"/>
      <c r="E90" s="101" t="str">
        <f>IF(C90=$E$6,"Aktiv","-")</f>
        <v>-</v>
      </c>
      <c r="F90" s="101"/>
      <c r="G90" s="102" t="s">
        <v>36</v>
      </c>
      <c r="H90" s="28" t="str">
        <f>IF(E90=Hintergrunddaten!$I$10,"OK","Programmpunkt Inaktiv")</f>
        <v>Programmpunkt Inaktiv</v>
      </c>
    </row>
    <row r="91" spans="2:8" x14ac:dyDescent="0.25">
      <c r="B91" s="218"/>
      <c r="C91" s="30"/>
      <c r="D91" s="109" t="s">
        <v>55</v>
      </c>
      <c r="E91" s="114">
        <f>Hintergrunddaten!C50</f>
        <v>100</v>
      </c>
      <c r="F91" s="109"/>
      <c r="G91" s="109"/>
      <c r="H91" s="115"/>
    </row>
    <row r="92" spans="2:8" ht="21.75" customHeight="1" x14ac:dyDescent="0.25">
      <c r="B92" s="218"/>
      <c r="C92" s="30"/>
      <c r="D92" s="110" t="s">
        <v>247</v>
      </c>
      <c r="E92" s="114"/>
      <c r="F92" s="109"/>
      <c r="G92" s="109"/>
      <c r="H92" s="115"/>
    </row>
    <row r="93" spans="2:8" x14ac:dyDescent="0.25">
      <c r="B93" s="218"/>
      <c r="C93" s="30"/>
      <c r="D93" s="45" t="s">
        <v>227</v>
      </c>
      <c r="E93" s="161"/>
      <c r="F93" s="45" t="s">
        <v>228</v>
      </c>
      <c r="G93" s="103" t="s">
        <v>36</v>
      </c>
      <c r="H93" s="31" t="str">
        <f>IF(E93="","Fehlende Angabe",IF(E93&lt;E94,"Leistung PV unter Wechselrichterleistung","OK"))</f>
        <v>Fehlende Angabe</v>
      </c>
    </row>
    <row r="94" spans="2:8" x14ac:dyDescent="0.25">
      <c r="B94" s="218"/>
      <c r="C94" s="30"/>
      <c r="D94" s="30" t="s">
        <v>226</v>
      </c>
      <c r="E94" s="161"/>
      <c r="F94" s="30" t="s">
        <v>228</v>
      </c>
      <c r="G94" s="103" t="s">
        <v>36</v>
      </c>
      <c r="H94" s="31" t="str">
        <f>IF(E94&lt;Hintergrunddaten!F14,"Leistung zu gering","OK")</f>
        <v>Leistung zu gering</v>
      </c>
    </row>
    <row r="95" spans="2:8" x14ac:dyDescent="0.25">
      <c r="B95" s="218"/>
      <c r="C95" s="30"/>
      <c r="D95" s="47" t="s">
        <v>52</v>
      </c>
      <c r="E95" s="104">
        <f>IF(AND(H90="OK",H93="OK",H94="OK")=TRUE(),E91,0)</f>
        <v>0</v>
      </c>
      <c r="F95" s="47"/>
      <c r="G95" s="47"/>
      <c r="H95" s="107"/>
    </row>
    <row r="96" spans="2:8" x14ac:dyDescent="0.25">
      <c r="B96" s="218"/>
      <c r="C96" s="33"/>
      <c r="D96" s="116" t="s">
        <v>63</v>
      </c>
      <c r="E96" s="117" t="str">
        <f>Hintergrunddaten!I50&amp;" % der förderfähigen Kosten"</f>
        <v>50 % der förderfähigen Kosten</v>
      </c>
      <c r="F96" s="116"/>
      <c r="G96" s="116"/>
      <c r="H96" s="118"/>
    </row>
    <row r="97" spans="1:8" x14ac:dyDescent="0.25">
      <c r="B97" s="218"/>
      <c r="C97" s="150"/>
      <c r="D97" s="150"/>
      <c r="E97" s="150"/>
      <c r="F97" s="150"/>
      <c r="G97" s="150"/>
      <c r="H97" s="153"/>
    </row>
    <row r="98" spans="1:8" ht="18.75" x14ac:dyDescent="0.3">
      <c r="B98" s="218"/>
      <c r="C98" s="154" t="str">
        <f>Hintergrunddaten!B51</f>
        <v>Dachbegrünung</v>
      </c>
      <c r="D98" s="101"/>
      <c r="E98" s="101" t="str">
        <f>IF(C98=$E$6,"Aktiv","-")</f>
        <v>-</v>
      </c>
      <c r="F98" s="101"/>
      <c r="G98" s="102" t="s">
        <v>36</v>
      </c>
      <c r="H98" s="28" t="str">
        <f>IF(E98=Hintergrunddaten!$I$10,"OK","Programmpunkt Inaktiv")</f>
        <v>Programmpunkt Inaktiv</v>
      </c>
    </row>
    <row r="99" spans="1:8" x14ac:dyDescent="0.25">
      <c r="B99" s="218"/>
      <c r="C99" s="30"/>
      <c r="D99" s="109" t="s">
        <v>55</v>
      </c>
      <c r="E99" s="179">
        <f>Hintergrunddaten!C52</f>
        <v>15</v>
      </c>
      <c r="F99" s="109"/>
      <c r="G99" s="109" t="str">
        <f>"Mindestens: "&amp;Hintergrunddaten!E52&amp;" m² Gründach, Substratdicke mind. 8 cm"</f>
        <v>Mindestens: 10 m² Gründach, Substratdicke mind. 8 cm</v>
      </c>
      <c r="H99" s="115"/>
    </row>
    <row r="100" spans="1:8" x14ac:dyDescent="0.25">
      <c r="B100" s="218"/>
      <c r="C100" s="30"/>
      <c r="D100" s="30" t="s">
        <v>268</v>
      </c>
      <c r="E100" s="164"/>
      <c r="F100" s="30" t="s">
        <v>42</v>
      </c>
      <c r="G100" s="103" t="s">
        <v>36</v>
      </c>
      <c r="H100" s="31" t="str">
        <f>IF(E100&lt;Hintergrunddaten!E52,"Anlage nicht förderbar","OK")</f>
        <v>Anlage nicht förderbar</v>
      </c>
    </row>
    <row r="101" spans="1:8" x14ac:dyDescent="0.25">
      <c r="B101" s="218"/>
      <c r="C101" s="30"/>
      <c r="D101" s="47" t="s">
        <v>52</v>
      </c>
      <c r="E101" s="104">
        <f>IF(AND(H98="OK",H100="OK")=TRUE(),IF((ROUNDDOWN(E100,0)*E99)&lt;Hintergrunddaten!H52,(ROUNDDOWN(E100,0)*E99),Hintergrunddaten!H52),0)</f>
        <v>0</v>
      </c>
      <c r="F101" s="47"/>
      <c r="G101" s="47"/>
      <c r="H101" s="107"/>
    </row>
    <row r="102" spans="1:8" x14ac:dyDescent="0.25">
      <c r="B102" s="219"/>
      <c r="C102" s="33"/>
      <c r="D102" s="116" t="s">
        <v>63</v>
      </c>
      <c r="E102" s="117" t="str">
        <f>Hintergrunddaten!I52&amp;" % der förderfähigen Kosten"</f>
        <v>50 % der förderfähigen Kosten</v>
      </c>
      <c r="F102" s="116"/>
      <c r="G102" s="116"/>
      <c r="H102" s="118"/>
    </row>
    <row r="103" spans="1:8" x14ac:dyDescent="0.25">
      <c r="C103" s="23"/>
      <c r="D103" s="23"/>
      <c r="E103" s="23"/>
      <c r="F103" s="23"/>
      <c r="G103" s="23"/>
      <c r="H103" s="23"/>
    </row>
    <row r="104" spans="1:8" ht="28.5" x14ac:dyDescent="0.45">
      <c r="A104" s="20" t="s">
        <v>212</v>
      </c>
      <c r="B104" s="20"/>
      <c r="C104" s="23"/>
      <c r="D104" s="23"/>
      <c r="E104" s="23"/>
      <c r="F104" s="23"/>
      <c r="G104" s="23"/>
      <c r="H104" s="23"/>
    </row>
    <row r="105" spans="1:8" x14ac:dyDescent="0.25">
      <c r="C105" s="23"/>
      <c r="D105" s="23"/>
      <c r="E105" s="23"/>
      <c r="F105" s="23"/>
      <c r="G105" s="23"/>
      <c r="H105" s="23"/>
    </row>
    <row r="106" spans="1:8" ht="18.75" x14ac:dyDescent="0.3">
      <c r="B106" s="211">
        <v>4</v>
      </c>
      <c r="C106" s="100" t="s">
        <v>8</v>
      </c>
      <c r="D106" s="101"/>
      <c r="E106" s="101"/>
      <c r="F106" s="101"/>
      <c r="G106" s="101"/>
      <c r="H106" s="28"/>
    </row>
    <row r="107" spans="1:8" x14ac:dyDescent="0.25">
      <c r="B107" s="212"/>
      <c r="C107" s="29"/>
      <c r="D107" s="30" t="s">
        <v>174</v>
      </c>
      <c r="E107" s="163"/>
      <c r="F107" s="30"/>
      <c r="G107" s="103" t="s">
        <v>36</v>
      </c>
      <c r="H107" s="31" t="str">
        <f>IF(E107="","Bitte ausfüllen","OK")</f>
        <v>Bitte ausfüllen</v>
      </c>
    </row>
    <row r="108" spans="1:8" ht="30" x14ac:dyDescent="0.25">
      <c r="B108" s="212"/>
      <c r="C108" s="29"/>
      <c r="D108" s="120" t="s">
        <v>180</v>
      </c>
      <c r="E108" s="163"/>
      <c r="F108" s="30"/>
      <c r="G108" s="103" t="s">
        <v>36</v>
      </c>
      <c r="H108" s="31" t="str">
        <f>IF(E108="","Bitte ausfüllen",IF(AND(E107=Hintergrunddaten!J11,Antragsdaten!E108="Nein")=TRUE(),"Achtung bei Unternehmen: Nur KMUs sind förderbar!","OK"))</f>
        <v>Bitte ausfüllen</v>
      </c>
    </row>
    <row r="109" spans="1:8" ht="18.75" customHeight="1" x14ac:dyDescent="0.25">
      <c r="B109" s="212"/>
      <c r="C109" s="29"/>
      <c r="D109" s="168" t="s">
        <v>219</v>
      </c>
      <c r="E109" s="30"/>
      <c r="F109" s="30"/>
      <c r="G109" s="103"/>
      <c r="H109" s="31"/>
    </row>
    <row r="110" spans="1:8" x14ac:dyDescent="0.25">
      <c r="B110" s="212"/>
      <c r="C110" s="29"/>
      <c r="D110" s="30" t="s">
        <v>9</v>
      </c>
      <c r="E110" s="163"/>
      <c r="F110" s="30"/>
      <c r="G110" s="103" t="s">
        <v>36</v>
      </c>
      <c r="H110" s="31" t="str">
        <f>IF(E110="","Bitte ausfüllen","OK")</f>
        <v>Bitte ausfüllen</v>
      </c>
    </row>
    <row r="111" spans="1:8" x14ac:dyDescent="0.25">
      <c r="B111" s="212"/>
      <c r="C111" s="29"/>
      <c r="D111" s="30" t="s">
        <v>10</v>
      </c>
      <c r="E111" s="163"/>
      <c r="F111" s="30"/>
      <c r="G111" s="103" t="s">
        <v>36</v>
      </c>
      <c r="H111" s="31" t="str">
        <f t="shared" ref="H111:H132" si="0">IF(E111="","Bitte ausfüllen","OK")</f>
        <v>Bitte ausfüllen</v>
      </c>
    </row>
    <row r="112" spans="1:8" x14ac:dyDescent="0.25">
      <c r="B112" s="212"/>
      <c r="C112" s="29"/>
      <c r="D112" s="30" t="s">
        <v>122</v>
      </c>
      <c r="E112" s="163"/>
      <c r="F112" s="30"/>
      <c r="G112" s="103" t="s">
        <v>36</v>
      </c>
      <c r="H112" s="31" t="str">
        <f t="shared" si="0"/>
        <v>Bitte ausfüllen</v>
      </c>
    </row>
    <row r="113" spans="2:8" x14ac:dyDescent="0.25">
      <c r="B113" s="212"/>
      <c r="C113" s="29"/>
      <c r="D113" s="30" t="s">
        <v>12</v>
      </c>
      <c r="E113" s="163"/>
      <c r="F113" s="30"/>
      <c r="G113" s="103" t="s">
        <v>36</v>
      </c>
      <c r="H113" s="31" t="str">
        <f t="shared" si="0"/>
        <v>Bitte ausfüllen</v>
      </c>
    </row>
    <row r="114" spans="2:8" x14ac:dyDescent="0.25">
      <c r="B114" s="212"/>
      <c r="C114" s="29"/>
      <c r="D114" s="30" t="s">
        <v>13</v>
      </c>
      <c r="E114" s="163"/>
      <c r="F114" s="30"/>
      <c r="G114" s="103" t="s">
        <v>36</v>
      </c>
      <c r="H114" s="31" t="str">
        <f t="shared" si="0"/>
        <v>Bitte ausfüllen</v>
      </c>
    </row>
    <row r="115" spans="2:8" x14ac:dyDescent="0.25">
      <c r="B115" s="212"/>
      <c r="C115" s="29"/>
      <c r="D115" s="30" t="s">
        <v>141</v>
      </c>
      <c r="E115" s="163"/>
      <c r="F115" s="30"/>
      <c r="G115" s="103" t="s">
        <v>36</v>
      </c>
      <c r="H115" s="31" t="str">
        <f t="shared" si="0"/>
        <v>Bitte ausfüllen</v>
      </c>
    </row>
    <row r="116" spans="2:8" x14ac:dyDescent="0.25">
      <c r="B116" s="212"/>
      <c r="C116" s="29"/>
      <c r="D116" s="30" t="s">
        <v>15</v>
      </c>
      <c r="E116" s="163"/>
      <c r="F116" s="30"/>
      <c r="G116" s="103" t="s">
        <v>36</v>
      </c>
      <c r="H116" s="31" t="str">
        <f t="shared" si="0"/>
        <v>Bitte ausfüllen</v>
      </c>
    </row>
    <row r="117" spans="2:8" x14ac:dyDescent="0.25">
      <c r="B117" s="212"/>
      <c r="C117" s="29"/>
      <c r="D117" s="30" t="s">
        <v>16</v>
      </c>
      <c r="E117" s="167"/>
      <c r="F117" s="30"/>
      <c r="G117" s="103" t="s">
        <v>36</v>
      </c>
      <c r="H117" s="31" t="str">
        <f t="shared" si="0"/>
        <v>Bitte ausfüllen</v>
      </c>
    </row>
    <row r="118" spans="2:8" x14ac:dyDescent="0.25">
      <c r="B118" s="212"/>
      <c r="C118" s="29"/>
      <c r="D118" s="30" t="s">
        <v>17</v>
      </c>
      <c r="E118" s="181"/>
      <c r="F118" s="30"/>
      <c r="G118" s="103" t="s">
        <v>36</v>
      </c>
      <c r="H118" s="31" t="str">
        <f t="shared" si="0"/>
        <v>Bitte ausfüllen</v>
      </c>
    </row>
    <row r="119" spans="2:8" x14ac:dyDescent="0.25">
      <c r="B119" s="212"/>
      <c r="C119" s="29"/>
      <c r="D119" s="30" t="s">
        <v>18</v>
      </c>
      <c r="E119" s="169"/>
      <c r="F119" s="30"/>
      <c r="G119" s="103" t="s">
        <v>36</v>
      </c>
      <c r="H119" s="31" t="str">
        <f t="shared" si="0"/>
        <v>Bitte ausfüllen</v>
      </c>
    </row>
    <row r="120" spans="2:8" x14ac:dyDescent="0.25">
      <c r="B120" s="212"/>
      <c r="C120" s="29"/>
      <c r="D120" s="30"/>
      <c r="E120" s="170"/>
      <c r="F120" s="30"/>
      <c r="G120" s="103"/>
      <c r="H120" s="31"/>
    </row>
    <row r="121" spans="2:8" ht="18.75" x14ac:dyDescent="0.3">
      <c r="B121" s="212"/>
      <c r="C121" s="111" t="s">
        <v>119</v>
      </c>
      <c r="D121" s="30"/>
      <c r="E121" s="170"/>
      <c r="F121" s="30"/>
      <c r="G121" s="103"/>
      <c r="H121" s="31"/>
    </row>
    <row r="122" spans="2:8" x14ac:dyDescent="0.25">
      <c r="B122" s="212"/>
      <c r="C122" s="29"/>
      <c r="D122" s="30" t="s">
        <v>19</v>
      </c>
      <c r="E122" s="163"/>
      <c r="F122" s="30"/>
      <c r="G122" s="103" t="s">
        <v>36</v>
      </c>
      <c r="H122" s="31" t="str">
        <f t="shared" si="0"/>
        <v>Bitte ausfüllen</v>
      </c>
    </row>
    <row r="123" spans="2:8" x14ac:dyDescent="0.25">
      <c r="B123" s="212"/>
      <c r="C123" s="29"/>
      <c r="D123" s="109" t="s">
        <v>163</v>
      </c>
      <c r="E123" s="170"/>
      <c r="F123" s="30"/>
      <c r="G123" s="103"/>
      <c r="H123" s="31"/>
    </row>
    <row r="124" spans="2:8" x14ac:dyDescent="0.25">
      <c r="B124" s="212"/>
      <c r="C124" s="29"/>
      <c r="D124" s="30" t="s">
        <v>120</v>
      </c>
      <c r="E124" s="163"/>
      <c r="F124" s="30"/>
      <c r="G124" s="103" t="s">
        <v>36</v>
      </c>
      <c r="H124" s="31" t="str">
        <f t="shared" si="0"/>
        <v>Bitte ausfüllen</v>
      </c>
    </row>
    <row r="125" spans="2:8" x14ac:dyDescent="0.25">
      <c r="B125" s="212"/>
      <c r="C125" s="29"/>
      <c r="D125" s="30" t="s">
        <v>121</v>
      </c>
      <c r="E125" s="163"/>
      <c r="F125" s="30"/>
      <c r="G125" s="103" t="s">
        <v>36</v>
      </c>
      <c r="H125" s="31" t="str">
        <f t="shared" si="0"/>
        <v>Bitte ausfüllen</v>
      </c>
    </row>
    <row r="126" spans="2:8" x14ac:dyDescent="0.25">
      <c r="B126" s="212"/>
      <c r="C126" s="29"/>
      <c r="D126" s="30"/>
      <c r="E126" s="170"/>
      <c r="F126" s="30"/>
      <c r="G126" s="103"/>
      <c r="H126" s="31"/>
    </row>
    <row r="127" spans="2:8" ht="18.75" x14ac:dyDescent="0.3">
      <c r="B127" s="212"/>
      <c r="C127" s="111" t="s">
        <v>129</v>
      </c>
      <c r="D127" s="30"/>
      <c r="E127" s="170"/>
      <c r="F127" s="30"/>
      <c r="G127" s="103"/>
      <c r="H127" s="31"/>
    </row>
    <row r="128" spans="2:8" x14ac:dyDescent="0.25">
      <c r="B128" s="212"/>
      <c r="C128" s="29"/>
      <c r="D128" s="30" t="s">
        <v>12</v>
      </c>
      <c r="E128" s="163"/>
      <c r="F128" s="30"/>
      <c r="G128" s="103" t="s">
        <v>36</v>
      </c>
      <c r="H128" s="31" t="str">
        <f t="shared" si="0"/>
        <v>Bitte ausfüllen</v>
      </c>
    </row>
    <row r="129" spans="1:8" x14ac:dyDescent="0.25">
      <c r="B129" s="212"/>
      <c r="C129" s="29"/>
      <c r="D129" s="30" t="s">
        <v>13</v>
      </c>
      <c r="E129" s="163"/>
      <c r="F129" s="30"/>
      <c r="G129" s="103" t="s">
        <v>36</v>
      </c>
      <c r="H129" s="31" t="str">
        <f t="shared" si="0"/>
        <v>Bitte ausfüllen</v>
      </c>
    </row>
    <row r="130" spans="1:8" x14ac:dyDescent="0.25">
      <c r="B130" s="212"/>
      <c r="C130" s="29"/>
      <c r="D130" s="30" t="s">
        <v>141</v>
      </c>
      <c r="E130" s="163"/>
      <c r="F130" s="30"/>
      <c r="G130" s="103" t="s">
        <v>36</v>
      </c>
      <c r="H130" s="31" t="str">
        <f>IF(E130="","Bitte ausfüllen",IF(E130&lt;&gt;84130,"Achtung! Nur Anlagen in Dingolfing sind förderbar","OK"))</f>
        <v>Bitte ausfüllen</v>
      </c>
    </row>
    <row r="131" spans="1:8" x14ac:dyDescent="0.25">
      <c r="B131" s="212"/>
      <c r="C131" s="29"/>
      <c r="D131" s="30" t="s">
        <v>123</v>
      </c>
      <c r="E131" s="163"/>
      <c r="F131" s="30"/>
      <c r="G131" s="103" t="s">
        <v>36</v>
      </c>
      <c r="H131" s="31" t="str">
        <f t="shared" si="0"/>
        <v>Bitte ausfüllen</v>
      </c>
    </row>
    <row r="132" spans="1:8" x14ac:dyDescent="0.25">
      <c r="B132" s="212"/>
      <c r="C132" s="29"/>
      <c r="D132" s="30" t="s">
        <v>128</v>
      </c>
      <c r="E132" s="163"/>
      <c r="F132" s="30"/>
      <c r="G132" s="103" t="s">
        <v>36</v>
      </c>
      <c r="H132" s="31" t="str">
        <f t="shared" si="0"/>
        <v>Bitte ausfüllen</v>
      </c>
    </row>
    <row r="133" spans="1:8" x14ac:dyDescent="0.25">
      <c r="B133" s="213"/>
      <c r="C133" s="32"/>
      <c r="D133" s="33"/>
      <c r="E133" s="171"/>
      <c r="F133" s="33"/>
      <c r="G133" s="33"/>
      <c r="H133" s="34"/>
    </row>
    <row r="134" spans="1:8" x14ac:dyDescent="0.25">
      <c r="C134" s="23"/>
      <c r="D134" s="23"/>
      <c r="E134" s="172"/>
      <c r="F134" s="23"/>
      <c r="G134" s="23"/>
      <c r="H134" s="23"/>
    </row>
    <row r="135" spans="1:8" ht="28.5" x14ac:dyDescent="0.45">
      <c r="A135" s="20" t="s">
        <v>214</v>
      </c>
      <c r="B135" s="20"/>
      <c r="C135" s="23"/>
      <c r="D135" s="23"/>
      <c r="E135" s="172"/>
      <c r="F135" s="23"/>
      <c r="G135" s="23"/>
      <c r="H135" s="23"/>
    </row>
    <row r="136" spans="1:8" ht="18.75" x14ac:dyDescent="0.3">
      <c r="B136" s="183" t="str">
        <f>IF(Hintergrunddaten!$D$7="Ja","Vereinfachtes Verfahren - Keine Angaben notwendig","")</f>
        <v>Vereinfachtes Verfahren - Keine Angaben notwendig</v>
      </c>
      <c r="C136" s="23"/>
      <c r="D136" s="23"/>
      <c r="E136" s="172"/>
      <c r="F136" s="23"/>
      <c r="G136" s="23"/>
      <c r="H136" s="23"/>
    </row>
    <row r="137" spans="1:8" ht="18.75" customHeight="1" x14ac:dyDescent="0.3">
      <c r="B137" s="211">
        <v>5</v>
      </c>
      <c r="C137" s="100" t="s">
        <v>194</v>
      </c>
      <c r="D137" s="101"/>
      <c r="E137" s="173"/>
      <c r="F137" s="101"/>
      <c r="G137" s="101"/>
      <c r="H137" s="28"/>
    </row>
    <row r="138" spans="1:8" ht="15" customHeight="1" x14ac:dyDescent="0.25">
      <c r="B138" s="212"/>
      <c r="C138" s="29"/>
      <c r="D138" s="30" t="s">
        <v>137</v>
      </c>
      <c r="E138" s="163"/>
      <c r="F138" s="30"/>
      <c r="G138" s="103" t="s">
        <v>36</v>
      </c>
      <c r="H138" s="31" t="str">
        <f>IF(Hintergrunddaten!$D$7="Ja","Vereinfachtes Verfahren - Keine Angaben notwendig",IF(E138="","Bitte ausfüllen","OK"))</f>
        <v>Vereinfachtes Verfahren - Keine Angaben notwendig</v>
      </c>
    </row>
    <row r="139" spans="1:8" ht="15" customHeight="1" x14ac:dyDescent="0.25">
      <c r="B139" s="212"/>
      <c r="C139" s="29"/>
      <c r="D139" s="30" t="s">
        <v>12</v>
      </c>
      <c r="E139" s="163"/>
      <c r="F139" s="30"/>
      <c r="G139" s="103" t="s">
        <v>36</v>
      </c>
      <c r="H139" s="31" t="str">
        <f>IF(Hintergrunddaten!$D$7="Ja","Vereinfachtes Verfahren - Keine Angaben notwendig",IF(E139="","Bitte ausfüllen","OK"))</f>
        <v>Vereinfachtes Verfahren - Keine Angaben notwendig</v>
      </c>
    </row>
    <row r="140" spans="1:8" ht="15" customHeight="1" x14ac:dyDescent="0.25">
      <c r="B140" s="212"/>
      <c r="C140" s="29"/>
      <c r="D140" s="30" t="s">
        <v>13</v>
      </c>
      <c r="E140" s="163"/>
      <c r="F140" s="30"/>
      <c r="G140" s="103" t="s">
        <v>36</v>
      </c>
      <c r="H140" s="31" t="str">
        <f>IF(Hintergrunddaten!$D$7="Ja","Vereinfachtes Verfahren - Keine Angaben notwendig",IF(E140="","Bitte ausfüllen","OK"))</f>
        <v>Vereinfachtes Verfahren - Keine Angaben notwendig</v>
      </c>
    </row>
    <row r="141" spans="1:8" ht="15" customHeight="1" x14ac:dyDescent="0.25">
      <c r="B141" s="212"/>
      <c r="C141" s="29"/>
      <c r="D141" s="30" t="s">
        <v>141</v>
      </c>
      <c r="E141" s="163"/>
      <c r="F141" s="30"/>
      <c r="G141" s="103" t="s">
        <v>36</v>
      </c>
      <c r="H141" s="31" t="str">
        <f>IF(Hintergrunddaten!$D$7="Ja","Vereinfachtes Verfahren - Keine Angaben notwendig",IF(E141="","Bitte ausfüllen","OK"))</f>
        <v>Vereinfachtes Verfahren - Keine Angaben notwendig</v>
      </c>
    </row>
    <row r="142" spans="1:8" ht="15" customHeight="1" x14ac:dyDescent="0.25">
      <c r="B142" s="212"/>
      <c r="C142" s="29"/>
      <c r="D142" s="30" t="s">
        <v>123</v>
      </c>
      <c r="E142" s="163"/>
      <c r="F142" s="30"/>
      <c r="G142" s="103" t="s">
        <v>36</v>
      </c>
      <c r="H142" s="31" t="str">
        <f>IF(Hintergrunddaten!$D$7="Ja","Vereinfachtes Verfahren - Keine Angaben notwendig",IF(E142="","Bitte ausfüllen","OK"))</f>
        <v>Vereinfachtes Verfahren - Keine Angaben notwendig</v>
      </c>
    </row>
    <row r="143" spans="1:8" ht="18.75" customHeight="1" x14ac:dyDescent="0.3">
      <c r="B143" s="212"/>
      <c r="C143" s="111" t="s">
        <v>143</v>
      </c>
      <c r="D143" s="47"/>
      <c r="E143" s="170"/>
      <c r="F143" s="30"/>
      <c r="G143" s="30"/>
      <c r="H143" s="31"/>
    </row>
    <row r="144" spans="1:8" ht="15" customHeight="1" x14ac:dyDescent="0.25">
      <c r="B144" s="212"/>
      <c r="C144" s="29"/>
      <c r="D144" s="30" t="s">
        <v>9</v>
      </c>
      <c r="E144" s="163"/>
      <c r="F144" s="30"/>
      <c r="G144" s="103" t="s">
        <v>36</v>
      </c>
      <c r="H144" s="31" t="str">
        <f>IF(Hintergrunddaten!$D$7="Ja","Vereinfachtes Verfahren - Keine Angaben notwendig",IF(E144="","Bitte ausfüllen","OK"))</f>
        <v>Vereinfachtes Verfahren - Keine Angaben notwendig</v>
      </c>
    </row>
    <row r="145" spans="2:8" ht="15" customHeight="1" x14ac:dyDescent="0.25">
      <c r="B145" s="212"/>
      <c r="C145" s="29"/>
      <c r="D145" s="30" t="s">
        <v>139</v>
      </c>
      <c r="E145" s="163"/>
      <c r="F145" s="30"/>
      <c r="G145" s="103" t="s">
        <v>36</v>
      </c>
      <c r="H145" s="31" t="str">
        <f>IF(Hintergrunddaten!$D$7="Ja","Vereinfachtes Verfahren - Keine Angaben notwendig",IF(E145="","Bitte ausfüllen","OK"))</f>
        <v>Vereinfachtes Verfahren - Keine Angaben notwendig</v>
      </c>
    </row>
    <row r="146" spans="2:8" ht="15" customHeight="1" x14ac:dyDescent="0.25">
      <c r="B146" s="212"/>
      <c r="C146" s="29"/>
      <c r="D146" s="30" t="s">
        <v>140</v>
      </c>
      <c r="E146" s="163"/>
      <c r="F146" s="30"/>
      <c r="G146" s="103" t="s">
        <v>36</v>
      </c>
      <c r="H146" s="31" t="str">
        <f>IF(Hintergrunddaten!$D$7="Ja","Vereinfachtes Verfahren - Keine Angaben notwendig",IF(E146="","Bitte ausfüllen","OK"))</f>
        <v>Vereinfachtes Verfahren - Keine Angaben notwendig</v>
      </c>
    </row>
    <row r="147" spans="2:8" ht="15" customHeight="1" x14ac:dyDescent="0.25">
      <c r="B147" s="212"/>
      <c r="C147" s="29"/>
      <c r="D147" s="30" t="s">
        <v>17</v>
      </c>
      <c r="E147" s="181"/>
      <c r="F147" s="30"/>
      <c r="G147" s="103" t="s">
        <v>36</v>
      </c>
      <c r="H147" s="31" t="str">
        <f>IF(Hintergrunddaten!$D$7="Ja","Vereinfachtes Verfahren - Keine Angaben notwendig",IF(E147="","Bitte ausfüllen","OK"))</f>
        <v>Vereinfachtes Verfahren - Keine Angaben notwendig</v>
      </c>
    </row>
    <row r="148" spans="2:8" ht="15" customHeight="1" x14ac:dyDescent="0.25">
      <c r="B148" s="212"/>
      <c r="C148" s="29"/>
      <c r="D148" s="30" t="s">
        <v>18</v>
      </c>
      <c r="E148" s="163"/>
      <c r="F148" s="30"/>
      <c r="G148" s="103" t="s">
        <v>36</v>
      </c>
      <c r="H148" s="31" t="str">
        <f>IF(Hintergrunddaten!$D$7="Ja","Vereinfachtes Verfahren - Keine Angaben notwendig",IF(E148="","Bitte ausfüllen","OK"))</f>
        <v>Vereinfachtes Verfahren - Keine Angaben notwendig</v>
      </c>
    </row>
    <row r="149" spans="2:8" ht="15" customHeight="1" x14ac:dyDescent="0.25">
      <c r="B149" s="212"/>
      <c r="C149" s="29"/>
      <c r="D149" s="30"/>
      <c r="E149" s="30"/>
      <c r="F149" s="30"/>
      <c r="G149" s="30"/>
      <c r="H149" s="31"/>
    </row>
    <row r="150" spans="2:8" ht="15" customHeight="1" x14ac:dyDescent="0.25">
      <c r="B150" s="212"/>
      <c r="C150" s="112" t="s">
        <v>151</v>
      </c>
      <c r="D150" s="30"/>
      <c r="E150" s="30"/>
      <c r="F150" s="30"/>
      <c r="G150" s="30"/>
      <c r="H150" s="31"/>
    </row>
    <row r="151" spans="2:8" ht="15" customHeight="1" x14ac:dyDescent="0.25">
      <c r="B151" s="212"/>
      <c r="C151" s="29" t="s">
        <v>196</v>
      </c>
      <c r="D151" s="30"/>
      <c r="E151" s="30"/>
      <c r="F151" s="30"/>
      <c r="G151" s="30"/>
      <c r="H151" s="31"/>
    </row>
    <row r="152" spans="2:8" ht="15" customHeight="1" x14ac:dyDescent="0.25">
      <c r="B152" s="212"/>
      <c r="C152" s="29" t="s">
        <v>195</v>
      </c>
      <c r="D152" s="30"/>
      <c r="E152" s="30"/>
      <c r="F152" s="30"/>
      <c r="G152" s="30"/>
      <c r="H152" s="31"/>
    </row>
    <row r="153" spans="2:8" ht="15" customHeight="1" x14ac:dyDescent="0.25">
      <c r="B153" s="213"/>
      <c r="C153" s="32"/>
      <c r="D153" s="33"/>
      <c r="E153" s="33"/>
      <c r="F153" s="33"/>
      <c r="G153" s="33"/>
      <c r="H153" s="34"/>
    </row>
    <row r="154" spans="2:8" ht="15" customHeight="1" x14ac:dyDescent="0.25">
      <c r="B154" s="23"/>
      <c r="C154" s="23"/>
      <c r="D154" s="23"/>
      <c r="E154" s="23"/>
      <c r="F154" s="23"/>
      <c r="G154" s="23"/>
      <c r="H154" s="23"/>
    </row>
    <row r="155" spans="2:8" ht="15" customHeight="1" x14ac:dyDescent="0.25">
      <c r="B155" s="23"/>
      <c r="C155" s="23"/>
      <c r="D155" s="23"/>
      <c r="E155" s="23"/>
      <c r="F155" s="23"/>
      <c r="G155" s="23"/>
      <c r="H155" s="23"/>
    </row>
    <row r="156" spans="2:8" ht="15" customHeight="1" x14ac:dyDescent="0.25"/>
    <row r="157" spans="2:8" ht="15" customHeight="1" x14ac:dyDescent="0.25"/>
    <row r="158" spans="2:8" ht="15" customHeight="1" x14ac:dyDescent="0.25"/>
    <row r="159" spans="2:8" ht="15" customHeight="1" x14ac:dyDescent="0.25"/>
    <row r="160" spans="2:8" ht="15" customHeight="1" x14ac:dyDescent="0.25"/>
    <row r="161" ht="15" customHeight="1" x14ac:dyDescent="0.25"/>
    <row r="162" ht="15" customHeight="1" x14ac:dyDescent="0.25"/>
    <row r="163" ht="15" customHeight="1" x14ac:dyDescent="0.25"/>
    <row r="164" ht="15" customHeight="1" x14ac:dyDescent="0.25"/>
  </sheetData>
  <sheetProtection algorithmName="SHA-512" hashValue="2vMgnDFhxRwD8nPrvQEzDa+MrhWBupU4KzpE9DsSUGUvNwsAEPSOPxt5xWehTPJgWZnq58libKlKrHPI1E5o8g==" saltValue="W4pp6Mvjxav/iDSeJLgsdA==" spinCount="100000" sheet="1" selectLockedCells="1"/>
  <mergeCells count="5">
    <mergeCell ref="B106:B133"/>
    <mergeCell ref="B137:B153"/>
    <mergeCell ref="F6:H6"/>
    <mergeCell ref="B8:B13"/>
    <mergeCell ref="B15:B102"/>
  </mergeCells>
  <conditionalFormatting sqref="D15:E15">
    <cfRule type="containsText" dxfId="145" priority="329" operator="containsText" text="Aktiv">
      <formula>NOT(ISERROR(SEARCH("Aktiv",D15)))</formula>
    </cfRule>
  </conditionalFormatting>
  <conditionalFormatting sqref="H110:H119 H10 H84:H85 H73">
    <cfRule type="cellIs" dxfId="144" priority="201" operator="notEqual">
      <formula>"OK"</formula>
    </cfRule>
    <cfRule type="containsText" dxfId="143" priority="202" operator="containsText" text="OK">
      <formula>NOT(ISERROR(SEARCH("OK",H10)))</formula>
    </cfRule>
  </conditionalFormatting>
  <conditionalFormatting sqref="E21">
    <cfRule type="containsText" dxfId="142" priority="200" operator="containsText" text="Aktiv">
      <formula>NOT(ISERROR(SEARCH("Aktiv",E21)))</formula>
    </cfRule>
  </conditionalFormatting>
  <conditionalFormatting sqref="E81">
    <cfRule type="containsText" dxfId="141" priority="199" operator="containsText" text="Aktiv">
      <formula>NOT(ISERROR(SEARCH("Aktiv",E81)))</formula>
    </cfRule>
  </conditionalFormatting>
  <conditionalFormatting sqref="E46">
    <cfRule type="containsText" dxfId="140" priority="198" operator="containsText" text="Aktiv">
      <formula>NOT(ISERROR(SEARCH("Aktiv",E46)))</formula>
    </cfRule>
  </conditionalFormatting>
  <conditionalFormatting sqref="E33">
    <cfRule type="containsText" dxfId="139" priority="197" operator="containsText" text="Aktiv">
      <formula>NOT(ISERROR(SEARCH("Aktiv",E33)))</formula>
    </cfRule>
  </conditionalFormatting>
  <conditionalFormatting sqref="E90">
    <cfRule type="containsText" dxfId="138" priority="196" operator="containsText" text="Aktiv">
      <formula>NOT(ISERROR(SEARCH("Aktiv",E90)))</formula>
    </cfRule>
  </conditionalFormatting>
  <conditionalFormatting sqref="E98">
    <cfRule type="containsText" dxfId="137" priority="195" operator="containsText" text="Aktiv">
      <formula>NOT(ISERROR(SEARCH("Aktiv",E98)))</formula>
    </cfRule>
  </conditionalFormatting>
  <conditionalFormatting sqref="H15:H17">
    <cfRule type="cellIs" dxfId="136" priority="193" operator="notEqual">
      <formula>"OK"</formula>
    </cfRule>
    <cfRule type="containsText" dxfId="135" priority="194" operator="containsText" text="OK">
      <formula>NOT(ISERROR(SEARCH("OK",H15)))</formula>
    </cfRule>
  </conditionalFormatting>
  <conditionalFormatting sqref="H21">
    <cfRule type="cellIs" dxfId="134" priority="191" operator="notEqual">
      <formula>"OK"</formula>
    </cfRule>
    <cfRule type="containsText" dxfId="133" priority="192" operator="containsText" text="OK">
      <formula>NOT(ISERROR(SEARCH("OK",H21)))</formula>
    </cfRule>
  </conditionalFormatting>
  <conditionalFormatting sqref="H81">
    <cfRule type="cellIs" dxfId="132" priority="189" operator="notEqual">
      <formula>"OK"</formula>
    </cfRule>
    <cfRule type="containsText" dxfId="131" priority="190" operator="containsText" text="OK">
      <formula>NOT(ISERROR(SEARCH("OK",H81)))</formula>
    </cfRule>
  </conditionalFormatting>
  <conditionalFormatting sqref="H27:H29">
    <cfRule type="cellIs" dxfId="130" priority="187" operator="notEqual">
      <formula>"OK"</formula>
    </cfRule>
    <cfRule type="containsText" dxfId="129" priority="188" operator="containsText" text="OK">
      <formula>NOT(ISERROR(SEARCH("OK",H27)))</formula>
    </cfRule>
  </conditionalFormatting>
  <conditionalFormatting sqref="H46">
    <cfRule type="cellIs" dxfId="128" priority="183" operator="notEqual">
      <formula>"OK"</formula>
    </cfRule>
    <cfRule type="containsText" dxfId="127" priority="184" operator="containsText" text="OK">
      <formula>NOT(ISERROR(SEARCH("OK",H46)))</formula>
    </cfRule>
  </conditionalFormatting>
  <conditionalFormatting sqref="H51:H52">
    <cfRule type="cellIs" dxfId="126" priority="179" operator="notEqual">
      <formula>"OK"</formula>
    </cfRule>
    <cfRule type="containsText" dxfId="125" priority="180" operator="containsText" text="OK">
      <formula>NOT(ISERROR(SEARCH("OK",H51)))</formula>
    </cfRule>
  </conditionalFormatting>
  <conditionalFormatting sqref="H58:H59">
    <cfRule type="cellIs" dxfId="124" priority="177" operator="notEqual">
      <formula>"OK"</formula>
    </cfRule>
    <cfRule type="containsText" dxfId="123" priority="178" operator="containsText" text="OK">
      <formula>NOT(ISERROR(SEARCH("OK",H58)))</formula>
    </cfRule>
  </conditionalFormatting>
  <conditionalFormatting sqref="H65:H66">
    <cfRule type="cellIs" dxfId="122" priority="175" operator="notEqual">
      <formula>"OK"</formula>
    </cfRule>
    <cfRule type="containsText" dxfId="121" priority="176" operator="containsText" text="OK">
      <formula>NOT(ISERROR(SEARCH("OK",H65)))</formula>
    </cfRule>
  </conditionalFormatting>
  <conditionalFormatting sqref="H33:H34">
    <cfRule type="cellIs" dxfId="120" priority="173" operator="notEqual">
      <formula>"OK"</formula>
    </cfRule>
    <cfRule type="containsText" dxfId="119" priority="174" operator="containsText" text="OK">
      <formula>NOT(ISERROR(SEARCH("OK",H33)))</formula>
    </cfRule>
  </conditionalFormatting>
  <conditionalFormatting sqref="H36">
    <cfRule type="cellIs" dxfId="118" priority="171" operator="notEqual">
      <formula>"OK"</formula>
    </cfRule>
    <cfRule type="containsText" dxfId="117" priority="172" operator="containsText" text="OK">
      <formula>NOT(ISERROR(SEARCH("OK",H36)))</formula>
    </cfRule>
  </conditionalFormatting>
  <conditionalFormatting sqref="H90">
    <cfRule type="cellIs" dxfId="116" priority="169" operator="notEqual">
      <formula>"OK"</formula>
    </cfRule>
    <cfRule type="containsText" dxfId="115" priority="170" operator="containsText" text="OK">
      <formula>NOT(ISERROR(SEARCH("OK",H90)))</formula>
    </cfRule>
  </conditionalFormatting>
  <conditionalFormatting sqref="H94">
    <cfRule type="cellIs" dxfId="114" priority="167" operator="notEqual">
      <formula>"OK"</formula>
    </cfRule>
    <cfRule type="containsText" dxfId="113" priority="168" operator="containsText" text="OK">
      <formula>NOT(ISERROR(SEARCH("OK",H94)))</formula>
    </cfRule>
  </conditionalFormatting>
  <conditionalFormatting sqref="H98">
    <cfRule type="cellIs" dxfId="112" priority="165" operator="notEqual">
      <formula>"OK"</formula>
    </cfRule>
    <cfRule type="containsText" dxfId="111" priority="166" operator="containsText" text="OK">
      <formula>NOT(ISERROR(SEARCH("OK",H98)))</formula>
    </cfRule>
  </conditionalFormatting>
  <conditionalFormatting sqref="H100">
    <cfRule type="cellIs" dxfId="110" priority="163" operator="notEqual">
      <formula>"OK"</formula>
    </cfRule>
    <cfRule type="containsText" dxfId="109" priority="164" operator="containsText" text="OK">
      <formula>NOT(ISERROR(SEARCH("OK",H100)))</formula>
    </cfRule>
  </conditionalFormatting>
  <conditionalFormatting sqref="H122">
    <cfRule type="cellIs" dxfId="108" priority="159" operator="notEqual">
      <formula>"OK"</formula>
    </cfRule>
    <cfRule type="containsText" dxfId="107" priority="160" operator="containsText" text="OK">
      <formula>NOT(ISERROR(SEARCH("OK",H122)))</formula>
    </cfRule>
  </conditionalFormatting>
  <conditionalFormatting sqref="H124:H125">
    <cfRule type="cellIs" dxfId="106" priority="157" operator="notEqual">
      <formula>"OK"</formula>
    </cfRule>
    <cfRule type="containsText" dxfId="105" priority="158" operator="containsText" text="OK">
      <formula>NOT(ISERROR(SEARCH("OK",H124)))</formula>
    </cfRule>
  </conditionalFormatting>
  <conditionalFormatting sqref="H128:H132">
    <cfRule type="cellIs" dxfId="104" priority="155" operator="notEqual">
      <formula>"OK"</formula>
    </cfRule>
    <cfRule type="containsText" dxfId="103" priority="156" operator="containsText" text="OK">
      <formula>NOT(ISERROR(SEARCH("OK",H128)))</formula>
    </cfRule>
  </conditionalFormatting>
  <conditionalFormatting sqref="H9">
    <cfRule type="cellIs" dxfId="102" priority="145" operator="notEqual">
      <formula>"OK"</formula>
    </cfRule>
    <cfRule type="containsText" dxfId="101" priority="146" operator="containsText" text="OK">
      <formula>NOT(ISERROR(SEARCH("OK",H9)))</formula>
    </cfRule>
  </conditionalFormatting>
  <conditionalFormatting sqref="H107">
    <cfRule type="cellIs" dxfId="100" priority="143" operator="notEqual">
      <formula>"OK"</formula>
    </cfRule>
    <cfRule type="containsText" dxfId="99" priority="144" operator="containsText" text="OK">
      <formula>NOT(ISERROR(SEARCH("OK",H107)))</formula>
    </cfRule>
  </conditionalFormatting>
  <conditionalFormatting sqref="H108">
    <cfRule type="cellIs" dxfId="98" priority="141" operator="notEqual">
      <formula>"OK"</formula>
    </cfRule>
    <cfRule type="containsText" dxfId="97" priority="142" operator="containsText" text="OK">
      <formula>NOT(ISERROR(SEARCH("OK",H108)))</formula>
    </cfRule>
  </conditionalFormatting>
  <conditionalFormatting sqref="H11">
    <cfRule type="cellIs" dxfId="96" priority="139" operator="notEqual">
      <formula>"OK"</formula>
    </cfRule>
    <cfRule type="containsText" dxfId="95" priority="140" operator="containsText" text="OK">
      <formula>NOT(ISERROR(SEARCH("OK",H11)))</formula>
    </cfRule>
  </conditionalFormatting>
  <conditionalFormatting sqref="G30">
    <cfRule type="cellIs" dxfId="94" priority="133" operator="notEqual">
      <formula>"OK"</formula>
    </cfRule>
    <cfRule type="containsText" dxfId="93" priority="134" operator="containsText" text="OK">
      <formula>NOT(ISERROR(SEARCH("OK",G30)))</formula>
    </cfRule>
  </conditionalFormatting>
  <conditionalFormatting sqref="D8:E8">
    <cfRule type="containsText" dxfId="92" priority="132" operator="containsText" text="Aktiv">
      <formula>NOT(ISERROR(SEARCH("Aktiv",D8)))</formula>
    </cfRule>
  </conditionalFormatting>
  <conditionalFormatting sqref="H8">
    <cfRule type="cellIs" dxfId="91" priority="130" operator="notEqual">
      <formula>"OK"</formula>
    </cfRule>
    <cfRule type="containsText" dxfId="90" priority="131" operator="containsText" text="OK">
      <formula>NOT(ISERROR(SEARCH("OK",H8)))</formula>
    </cfRule>
  </conditionalFormatting>
  <conditionalFormatting sqref="E6">
    <cfRule type="containsText" dxfId="89" priority="129" operator="containsText" text="Bitte wählen">
      <formula>NOT(ISERROR(SEARCH("Bitte wählen",E6)))</formula>
    </cfRule>
  </conditionalFormatting>
  <conditionalFormatting sqref="E9:E11">
    <cfRule type="expression" dxfId="88" priority="128">
      <formula>$E$6&lt;&gt;"Bitte wählen"</formula>
    </cfRule>
  </conditionalFormatting>
  <conditionalFormatting sqref="E16:E17">
    <cfRule type="expression" dxfId="87" priority="127">
      <formula>$E$15="Aktiv"</formula>
    </cfRule>
  </conditionalFormatting>
  <conditionalFormatting sqref="E27:E28">
    <cfRule type="expression" dxfId="86" priority="126">
      <formula>AND($E$21="Aktiv",$E$22="Thermische Solaranlage")</formula>
    </cfRule>
  </conditionalFormatting>
  <conditionalFormatting sqref="E84:E85">
    <cfRule type="expression" dxfId="85" priority="125">
      <formula>$E$81="Aktiv"</formula>
    </cfRule>
  </conditionalFormatting>
  <conditionalFormatting sqref="E51:E52 E73:E75 E58:E59 E65:E66">
    <cfRule type="expression" dxfId="84" priority="124">
      <formula>$E$46="Aktiv"</formula>
    </cfRule>
  </conditionalFormatting>
  <conditionalFormatting sqref="E34 E36">
    <cfRule type="expression" dxfId="83" priority="123">
      <formula>$E$33="Aktiv"</formula>
    </cfRule>
  </conditionalFormatting>
  <conditionalFormatting sqref="E94">
    <cfRule type="expression" dxfId="82" priority="83">
      <formula>ISBLANK(E94)=FALSE</formula>
    </cfRule>
    <cfRule type="expression" dxfId="81" priority="122">
      <formula>$E$90="Aktiv"</formula>
    </cfRule>
  </conditionalFormatting>
  <conditionalFormatting sqref="E100">
    <cfRule type="expression" dxfId="80" priority="82">
      <formula>ISBLANK(E100)=FALSE</formula>
    </cfRule>
    <cfRule type="expression" dxfId="79" priority="121">
      <formula>$E$98="Aktiv"</formula>
    </cfRule>
  </conditionalFormatting>
  <conditionalFormatting sqref="E9">
    <cfRule type="expression" dxfId="78" priority="119">
      <formula>ISBLANK(E9)=FALSE</formula>
    </cfRule>
  </conditionalFormatting>
  <conditionalFormatting sqref="E10">
    <cfRule type="expression" dxfId="77" priority="118">
      <formula>ISBLANK(E10)=FALSE</formula>
    </cfRule>
  </conditionalFormatting>
  <conditionalFormatting sqref="E11">
    <cfRule type="expression" dxfId="76" priority="117">
      <formula>ISBLANK(E11)=FALSE</formula>
    </cfRule>
  </conditionalFormatting>
  <conditionalFormatting sqref="E16">
    <cfRule type="expression" dxfId="75" priority="116">
      <formula>ISBLANK(E16)=FALSE</formula>
    </cfRule>
  </conditionalFormatting>
  <conditionalFormatting sqref="E17">
    <cfRule type="expression" dxfId="74" priority="115">
      <formula>ISBLANK(E17)=FALSE</formula>
    </cfRule>
  </conditionalFormatting>
  <conditionalFormatting sqref="E107">
    <cfRule type="expression" dxfId="73" priority="113">
      <formula>ISBLANK(E107)=FALSE</formula>
    </cfRule>
    <cfRule type="expression" dxfId="72" priority="114">
      <formula>$E$6&lt;&gt;"Bitte wählen"</formula>
    </cfRule>
  </conditionalFormatting>
  <conditionalFormatting sqref="E108">
    <cfRule type="expression" dxfId="71" priority="111">
      <formula>ISBLANK(E108)=FALSE</formula>
    </cfRule>
    <cfRule type="expression" dxfId="70" priority="112">
      <formula>$E$6&lt;&gt;"Bitte wählen"</formula>
    </cfRule>
  </conditionalFormatting>
  <conditionalFormatting sqref="E110:E119">
    <cfRule type="expression" dxfId="69" priority="109">
      <formula>ISBLANK(E110)=FALSE</formula>
    </cfRule>
    <cfRule type="expression" dxfId="68" priority="110">
      <formula>$E$6&lt;&gt;"Bitte wählen"</formula>
    </cfRule>
  </conditionalFormatting>
  <conditionalFormatting sqref="E122">
    <cfRule type="expression" dxfId="67" priority="107">
      <formula>ISBLANK(E122)=FALSE</formula>
    </cfRule>
    <cfRule type="expression" dxfId="66" priority="108">
      <formula>$E$6&lt;&gt;"Bitte wählen"</formula>
    </cfRule>
  </conditionalFormatting>
  <conditionalFormatting sqref="E124:E125">
    <cfRule type="expression" dxfId="65" priority="105">
      <formula>ISBLANK(E124)=FALSE</formula>
    </cfRule>
    <cfRule type="expression" dxfId="64" priority="106">
      <formula>$E$6&lt;&gt;"Bitte wählen"</formula>
    </cfRule>
  </conditionalFormatting>
  <conditionalFormatting sqref="E132">
    <cfRule type="expression" dxfId="63" priority="103">
      <formula>ISBLANK(E132)=FALSE</formula>
    </cfRule>
    <cfRule type="expression" dxfId="62" priority="104">
      <formula>$E$6&lt;&gt;"Bitte wählen"</formula>
    </cfRule>
  </conditionalFormatting>
  <conditionalFormatting sqref="E27">
    <cfRule type="expression" dxfId="61" priority="98">
      <formula>ISBLANK(E27)=FALSE</formula>
    </cfRule>
  </conditionalFormatting>
  <conditionalFormatting sqref="E28">
    <cfRule type="expression" dxfId="60" priority="97">
      <formula>ISBLANK(E28)=FALSE</formula>
    </cfRule>
  </conditionalFormatting>
  <conditionalFormatting sqref="E85">
    <cfRule type="expression" dxfId="59" priority="96">
      <formula>ISBLANK(E85)=FALSE</formula>
    </cfRule>
  </conditionalFormatting>
  <conditionalFormatting sqref="E84">
    <cfRule type="expression" dxfId="58" priority="95">
      <formula>ISBLANK(E84)=FALSE</formula>
    </cfRule>
  </conditionalFormatting>
  <conditionalFormatting sqref="E51">
    <cfRule type="expression" dxfId="57" priority="93">
      <formula>ISBLANK(E51)=FALSE</formula>
    </cfRule>
  </conditionalFormatting>
  <conditionalFormatting sqref="E58">
    <cfRule type="expression" dxfId="56" priority="92">
      <formula>ISBLANK(E58)=FALSE</formula>
    </cfRule>
  </conditionalFormatting>
  <conditionalFormatting sqref="E52">
    <cfRule type="expression" dxfId="55" priority="90">
      <formula>ISBLANK(E52)=FALSE</formula>
    </cfRule>
  </conditionalFormatting>
  <conditionalFormatting sqref="E58">
    <cfRule type="expression" dxfId="54" priority="89">
      <formula>ISBLANK(E58)=FALSE</formula>
    </cfRule>
  </conditionalFormatting>
  <conditionalFormatting sqref="E59">
    <cfRule type="expression" dxfId="53" priority="88">
      <formula>ISBLANK(E59)=FALSE</formula>
    </cfRule>
  </conditionalFormatting>
  <conditionalFormatting sqref="E65">
    <cfRule type="expression" dxfId="52" priority="87">
      <formula>ISBLANK(E65)=FALSE</formula>
    </cfRule>
  </conditionalFormatting>
  <conditionalFormatting sqref="E66">
    <cfRule type="expression" dxfId="51" priority="86">
      <formula>ISBLANK(E66)=FALSE</formula>
    </cfRule>
  </conditionalFormatting>
  <conditionalFormatting sqref="E34">
    <cfRule type="expression" dxfId="50" priority="85">
      <formula>ISBLANK(E34)=FALSE</formula>
    </cfRule>
  </conditionalFormatting>
  <conditionalFormatting sqref="E36">
    <cfRule type="expression" dxfId="49" priority="84">
      <formula>ISBLANK(E36)=FALSE</formula>
    </cfRule>
  </conditionalFormatting>
  <conditionalFormatting sqref="E22">
    <cfRule type="expression" dxfId="48" priority="79">
      <formula>$E$21="Aktiv"</formula>
    </cfRule>
  </conditionalFormatting>
  <conditionalFormatting sqref="E22">
    <cfRule type="expression" dxfId="47" priority="78">
      <formula>ISBLANK(E22)=FALSE</formula>
    </cfRule>
  </conditionalFormatting>
  <conditionalFormatting sqref="H22">
    <cfRule type="cellIs" dxfId="46" priority="72" operator="notEqual">
      <formula>"OK"</formula>
    </cfRule>
    <cfRule type="containsText" dxfId="45" priority="73" operator="containsText" text="OK">
      <formula>NOT(ISERROR(SEARCH("OK",H22)))</formula>
    </cfRule>
  </conditionalFormatting>
  <conditionalFormatting sqref="E93">
    <cfRule type="expression" dxfId="44" priority="70">
      <formula>ISBLANK(E93)=FALSE</formula>
    </cfRule>
    <cfRule type="expression" dxfId="43" priority="71">
      <formula>$E$90="Aktiv"</formula>
    </cfRule>
  </conditionalFormatting>
  <conditionalFormatting sqref="H93">
    <cfRule type="cellIs" dxfId="42" priority="64" operator="notEqual">
      <formula>"OK"</formula>
    </cfRule>
    <cfRule type="containsText" dxfId="41" priority="65" operator="containsText" text="OK">
      <formula>NOT(ISERROR(SEARCH("OK",H93)))</formula>
    </cfRule>
  </conditionalFormatting>
  <conditionalFormatting sqref="E75">
    <cfRule type="expression" dxfId="40" priority="58">
      <formula>ISBLANK(E75)=FALSE</formula>
    </cfRule>
  </conditionalFormatting>
  <conditionalFormatting sqref="E75">
    <cfRule type="expression" dxfId="39" priority="54">
      <formula>ISBLANK(E75)=FALSE</formula>
    </cfRule>
  </conditionalFormatting>
  <conditionalFormatting sqref="E75">
    <cfRule type="expression" dxfId="38" priority="53">
      <formula>ISBLANK(E54)=FALSE</formula>
    </cfRule>
  </conditionalFormatting>
  <conditionalFormatting sqref="E75">
    <cfRule type="expression" dxfId="37" priority="52">
      <formula>ISBLANK(E75)=FALSE</formula>
    </cfRule>
  </conditionalFormatting>
  <conditionalFormatting sqref="E74">
    <cfRule type="expression" dxfId="36" priority="48">
      <formula>ISBLANK(E74)=FALSE</formula>
    </cfRule>
  </conditionalFormatting>
  <conditionalFormatting sqref="H74">
    <cfRule type="cellIs" dxfId="35" priority="46" operator="notEqual">
      <formula>"OK"</formula>
    </cfRule>
    <cfRule type="containsText" dxfId="34" priority="47" operator="containsText" text="OK">
      <formula>NOT(ISERROR(SEARCH("OK",H74)))</formula>
    </cfRule>
  </conditionalFormatting>
  <conditionalFormatting sqref="H75">
    <cfRule type="cellIs" dxfId="33" priority="44" operator="notEqual">
      <formula>"OK"</formula>
    </cfRule>
    <cfRule type="containsText" dxfId="32" priority="45" operator="containsText" text="OK">
      <formula>NOT(ISERROR(SEARCH("OK",H75)))</formula>
    </cfRule>
  </conditionalFormatting>
  <conditionalFormatting sqref="E73">
    <cfRule type="expression" dxfId="31" priority="43">
      <formula>ISBLANK(E73)=FALSE</formula>
    </cfRule>
  </conditionalFormatting>
  <conditionalFormatting sqref="E65">
    <cfRule type="expression" dxfId="30" priority="330">
      <formula>ISBLANK(E89)=FALSE</formula>
    </cfRule>
  </conditionalFormatting>
  <conditionalFormatting sqref="E40">
    <cfRule type="containsText" dxfId="29" priority="34" operator="containsText" text="Aktiv">
      <formula>NOT(ISERROR(SEARCH("Aktiv",E40)))</formula>
    </cfRule>
  </conditionalFormatting>
  <conditionalFormatting sqref="H40:H41">
    <cfRule type="cellIs" dxfId="28" priority="32" operator="notEqual">
      <formula>"OK"</formula>
    </cfRule>
    <cfRule type="containsText" dxfId="27" priority="33" operator="containsText" text="OK">
      <formula>NOT(ISERROR(SEARCH("OK",H40)))</formula>
    </cfRule>
  </conditionalFormatting>
  <conditionalFormatting sqref="E41">
    <cfRule type="expression" dxfId="26" priority="29">
      <formula>$E$40="Aktiv"</formula>
    </cfRule>
  </conditionalFormatting>
  <conditionalFormatting sqref="E41">
    <cfRule type="expression" dxfId="25" priority="28">
      <formula>ISBLANK(E41)=FALSE</formula>
    </cfRule>
  </conditionalFormatting>
  <conditionalFormatting sqref="E58">
    <cfRule type="expression" dxfId="24" priority="26">
      <formula>ISBLANK(E58)=FALSE</formula>
    </cfRule>
  </conditionalFormatting>
  <conditionalFormatting sqref="E59">
    <cfRule type="expression" dxfId="23" priority="25">
      <formula>ISBLANK(E59)=FALSE</formula>
    </cfRule>
  </conditionalFormatting>
  <conditionalFormatting sqref="E65">
    <cfRule type="expression" dxfId="22" priority="24">
      <formula>ISBLANK(E65)=FALSE</formula>
    </cfRule>
  </conditionalFormatting>
  <conditionalFormatting sqref="E66">
    <cfRule type="expression" dxfId="21" priority="23">
      <formula>ISBLANK(E66)=FALSE</formula>
    </cfRule>
  </conditionalFormatting>
  <conditionalFormatting sqref="E128:E131">
    <cfRule type="expression" dxfId="20" priority="21">
      <formula>ISBLANK(E128)=FALSE</formula>
    </cfRule>
    <cfRule type="expression" dxfId="19" priority="22">
      <formula>$E$6&lt;&gt;"Bitte wählen"</formula>
    </cfRule>
  </conditionalFormatting>
  <conditionalFormatting sqref="E138:E142 E144:E148">
    <cfRule type="expression" dxfId="18" priority="19">
      <formula>ISBLANK(E138)=FALSE</formula>
    </cfRule>
    <cfRule type="expression" dxfId="17" priority="20">
      <formula>$E$6&lt;&gt;"Bitte wählen"</formula>
    </cfRule>
  </conditionalFormatting>
  <conditionalFormatting sqref="H144:H148">
    <cfRule type="beginsWith" dxfId="16" priority="15" operator="beginsWith" text="Vereinfachtes Verfahren">
      <formula>LEFT(H144,LEN("Vereinfachtes Verfahren"))="Vereinfachtes Verfahren"</formula>
    </cfRule>
  </conditionalFormatting>
  <conditionalFormatting sqref="H138:H148">
    <cfRule type="containsText" dxfId="15" priority="7" operator="containsText" text="Bitte ausfüllen">
      <formula>NOT(ISERROR(SEARCH("Bitte ausfüllen",H138)))</formula>
    </cfRule>
    <cfRule type="containsText" dxfId="14" priority="8" operator="containsText" text="OK">
      <formula>NOT(ISERROR(SEARCH("OK",H138)))</formula>
    </cfRule>
    <cfRule type="beginsWith" dxfId="13" priority="16" operator="beginsWith" text="Vereinfachtes Verfahren">
      <formula>LEFT(H138,LEN("Vereinfachtes Verfahren"))="Vereinfachtes Verfahren"</formula>
    </cfRule>
  </conditionalFormatting>
  <conditionalFormatting sqref="H42">
    <cfRule type="cellIs" dxfId="12" priority="3" operator="notEqual">
      <formula>"OK"</formula>
    </cfRule>
    <cfRule type="containsText" dxfId="11" priority="4" operator="containsText" text="OK">
      <formula>NOT(ISERROR(SEARCH("OK",H42)))</formula>
    </cfRule>
  </conditionalFormatting>
  <conditionalFormatting sqref="E42">
    <cfRule type="expression" dxfId="10" priority="2">
      <formula>$E$40="Aktiv"</formula>
    </cfRule>
  </conditionalFormatting>
  <conditionalFormatting sqref="E42">
    <cfRule type="expression" dxfId="9" priority="1">
      <formula>ISBLANK(E42)=FALSE</formula>
    </cfRule>
  </conditionalFormatting>
  <dataValidations count="1">
    <dataValidation type="decimal" errorStyle="information" operator="greaterThanOrEqual" allowBlank="1" showInputMessage="1" showErrorMessage="1" error="Bitte nur Zahlen eingeben." sqref="E11 E27 E28 E36 E42 E51 E58 E65 E74 E75 E84 E85 E93 E94 E100">
      <formula1>0</formula1>
    </dataValidation>
  </dataValidations>
  <pageMargins left="0.7" right="0.7" top="0.78740157499999996" bottom="0.78740157499999996" header="0.3" footer="0.3"/>
  <pageSetup paperSize="9" orientation="portrait" r:id="rId1"/>
  <ignoredErrors>
    <ignoredError sqref="H130" formula="1"/>
  </ignoredErrors>
  <extLst>
    <ext xmlns:x14="http://schemas.microsoft.com/office/spreadsheetml/2009/9/main" uri="{78C0D931-6437-407d-A8EE-F0AAD7539E65}">
      <x14:conditionalFormattings>
        <x14:conditionalFormatting xmlns:xm="http://schemas.microsoft.com/office/excel/2006/main">
          <x14:cfRule type="expression" priority="18" id="{A05D025D-138C-432C-BBC6-C1AF0EC075D6}">
            <xm:f>Hintergrunddaten!$D$7="Ja"</xm:f>
            <x14:dxf>
              <fill>
                <patternFill>
                  <bgColor theme="9" tint="0.79998168889431442"/>
                </patternFill>
              </fill>
            </x14:dxf>
          </x14:cfRule>
          <xm:sqref>E138:E142 E144:E148</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Hintergrunddaten!$I$4:$I$5</xm:f>
          </x14:formula1>
          <xm:sqref>E52 E66 E59 E108</xm:sqref>
        </x14:dataValidation>
        <x14:dataValidation type="list" allowBlank="1" showInputMessage="1" showErrorMessage="1">
          <x14:formula1>
            <xm:f>Hintergrunddaten!$E$13:$E$14</xm:f>
          </x14:formula1>
          <xm:sqref>E34</xm:sqref>
        </x14:dataValidation>
        <x14:dataValidation type="list" allowBlank="1" showInputMessage="1" showErrorMessage="1">
          <x14:formula1>
            <xm:f>Hintergrunddaten!$I$12:$I$13</xm:f>
          </x14:formula1>
          <xm:sqref>E10</xm:sqref>
        </x14:dataValidation>
        <x14:dataValidation type="list" allowBlank="1" showInputMessage="1" showErrorMessage="1">
          <x14:formula1>
            <xm:f>Hintergrunddaten!$J$4:$J$5</xm:f>
          </x14:formula1>
          <xm:sqref>E9</xm:sqref>
        </x14:dataValidation>
        <x14:dataValidation type="list" allowBlank="1" showInputMessage="1" showErrorMessage="1">
          <x14:formula1>
            <xm:f>Hintergrunddaten!$J$7:$J$11</xm:f>
          </x14:formula1>
          <xm:sqref>E107</xm:sqref>
        </x14:dataValidation>
        <x14:dataValidation type="list" allowBlank="1" showInputMessage="1" showErrorMessage="1">
          <x14:formula1>
            <xm:f>Hintergrunddaten!$B$28:$B$30</xm:f>
          </x14:formula1>
          <xm:sqref>E22</xm:sqref>
        </x14:dataValidation>
        <x14:dataValidation type="list" allowBlank="1" showInputMessage="1" showErrorMessage="1">
          <x14:formula1>
            <xm:f>Hintergrunddaten!$B$43:$B$44</xm:f>
          </x14:formula1>
          <xm:sqref>E73</xm:sqref>
        </x14:dataValidation>
        <x14:dataValidation type="list" allowBlank="1" showInputMessage="1" showErrorMessage="1">
          <x14:formula1>
            <xm:f>Hintergrunddaten!$B$14:$B$16</xm:f>
          </x14:formula1>
          <xm:sqref>E16</xm:sqref>
        </x14:dataValidation>
        <x14:dataValidation type="list" allowBlank="1" showInputMessage="1" showErrorMessage="1">
          <x14:formula1>
            <xm:f>Hintergrunddaten!$B$4:$B$12</xm:f>
          </x14:formula1>
          <xm:sqref>E6</xm:sqref>
        </x14:dataValidation>
        <x14:dataValidation type="list" allowBlank="1" showInputMessage="1" showErrorMessage="1">
          <x14:formula1>
            <xm:f>Hintergrunddaten!$B$34:$B$35</xm:f>
          </x14:formula1>
          <xm:sqref>E41</xm:sqref>
        </x14:dataValidation>
        <x14:dataValidation type="list" allowBlank="1" showInputMessage="1" showErrorMessage="1">
          <x14:formula1>
            <xm:f>OFFSET(Hintergrunddaten!E3:G3,1,MATCH(E16,Hintergrunddaten!E3:G3,0)-1,COUNTA(INDEX(Hintergrunddaten!E3:G10,,MATCH(E16,Hintergrunddaten!E3:G3,0)))-1,1)</xm:f>
          </x14:formula1>
          <xm:sqref>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128"/>
  <sheetViews>
    <sheetView zoomScale="85" zoomScaleNormal="85" workbookViewId="0">
      <selection activeCell="D53" sqref="D53"/>
    </sheetView>
  </sheetViews>
  <sheetFormatPr baseColWidth="10" defaultRowHeight="15" x14ac:dyDescent="0.25"/>
  <cols>
    <col min="2" max="2" width="58.42578125" bestFit="1" customWidth="1"/>
    <col min="3" max="3" width="33.28515625" bestFit="1" customWidth="1"/>
    <col min="4" max="4" width="39.140625" bestFit="1" customWidth="1"/>
    <col min="5" max="5" width="40.42578125" customWidth="1"/>
    <col min="6" max="6" width="58.42578125" bestFit="1" customWidth="1"/>
    <col min="7" max="7" width="74.42578125" bestFit="1" customWidth="1"/>
    <col min="8" max="8" width="28.85546875" customWidth="1"/>
    <col min="9" max="9" width="36" bestFit="1" customWidth="1"/>
    <col min="10" max="10" width="89.85546875" bestFit="1" customWidth="1"/>
    <col min="11" max="11" width="124.7109375" bestFit="1" customWidth="1"/>
    <col min="12" max="12" width="72" bestFit="1" customWidth="1"/>
    <col min="13" max="13" width="11.42578125" bestFit="1" customWidth="1"/>
    <col min="14" max="14" width="17.5703125" customWidth="1"/>
    <col min="15" max="15" width="39.28515625" bestFit="1" customWidth="1"/>
    <col min="16" max="16" width="12.7109375" bestFit="1" customWidth="1"/>
  </cols>
  <sheetData>
    <row r="1" spans="1:10" ht="23.25" x14ac:dyDescent="0.35">
      <c r="A1" s="58" t="s">
        <v>117</v>
      </c>
    </row>
    <row r="3" spans="1:10" x14ac:dyDescent="0.25">
      <c r="B3" s="17" t="s">
        <v>28</v>
      </c>
      <c r="D3" s="71" t="s">
        <v>258</v>
      </c>
      <c r="E3" s="17" t="s">
        <v>167</v>
      </c>
      <c r="F3" s="17" t="s">
        <v>218</v>
      </c>
      <c r="G3" s="17" t="s">
        <v>149</v>
      </c>
      <c r="I3" s="17" t="s">
        <v>58</v>
      </c>
      <c r="J3" s="17" t="s">
        <v>170</v>
      </c>
    </row>
    <row r="4" spans="1:10" x14ac:dyDescent="0.25">
      <c r="B4" s="71" t="s">
        <v>136</v>
      </c>
      <c r="D4" s="19" t="s">
        <v>259</v>
      </c>
      <c r="E4" s="18" t="str">
        <f t="shared" ref="E4:E10" si="0">B19</f>
        <v>Öl Brennwert + Erneuerbare Energie</v>
      </c>
      <c r="F4" s="18" t="str">
        <f>B21</f>
        <v>BHKW</v>
      </c>
      <c r="G4" s="18" t="str">
        <f>B26</f>
        <v>Neue Wärmepumpe</v>
      </c>
      <c r="I4" s="18" t="s">
        <v>59</v>
      </c>
      <c r="J4" s="18" t="s">
        <v>171</v>
      </c>
    </row>
    <row r="5" spans="1:10" x14ac:dyDescent="0.25">
      <c r="B5" s="18" t="str">
        <f>B18</f>
        <v>Austauschprämie Zentralheizung</v>
      </c>
      <c r="D5" s="185">
        <v>400</v>
      </c>
      <c r="E5" s="18" t="str">
        <f t="shared" si="0"/>
        <v>Gas Brennwert + Erneuerbare Energie</v>
      </c>
      <c r="F5" s="18" t="str">
        <f>B22</f>
        <v>Wärmepumpe</v>
      </c>
      <c r="G5" s="18"/>
      <c r="I5" s="19" t="s">
        <v>60</v>
      </c>
      <c r="J5" s="19" t="s">
        <v>172</v>
      </c>
    </row>
    <row r="6" spans="1:10" x14ac:dyDescent="0.25">
      <c r="B6" s="18" t="str">
        <f>B27</f>
        <v>Erneuerbare Energien</v>
      </c>
      <c r="D6" s="21" t="s">
        <v>260</v>
      </c>
      <c r="E6" s="18" t="str">
        <f t="shared" si="0"/>
        <v>BHKW</v>
      </c>
      <c r="F6" s="18" t="str">
        <f>B23</f>
        <v>Biomasse</v>
      </c>
      <c r="G6" s="18"/>
      <c r="I6" s="17" t="s">
        <v>152</v>
      </c>
      <c r="J6" s="17" t="s">
        <v>174</v>
      </c>
    </row>
    <row r="7" spans="1:10" x14ac:dyDescent="0.25">
      <c r="B7" s="18" t="str">
        <f>B46</f>
        <v>Lüftungsanlage</v>
      </c>
      <c r="D7" s="21" t="str">
        <f>IF(Hintergrunddaten!$C$120&lt;=Hintergrunddaten!$D$5,"Ja","Nein")</f>
        <v>Ja</v>
      </c>
      <c r="E7" s="18" t="str">
        <f t="shared" si="0"/>
        <v>Wärmepumpe</v>
      </c>
      <c r="F7" s="18" t="str">
        <f>B24</f>
        <v>Brennstoffzellenheizung</v>
      </c>
      <c r="G7" s="18"/>
      <c r="I7" s="29" t="s">
        <v>153</v>
      </c>
      <c r="J7" s="71" t="s">
        <v>176</v>
      </c>
    </row>
    <row r="8" spans="1:10" x14ac:dyDescent="0.25">
      <c r="B8" s="18" t="str">
        <f>B33</f>
        <v>Regenwasserzisterne</v>
      </c>
      <c r="D8" s="18" t="s">
        <v>261</v>
      </c>
      <c r="E8" s="18" t="str">
        <f t="shared" si="0"/>
        <v>Biomasse</v>
      </c>
      <c r="F8" s="18" t="str">
        <f>B25</f>
        <v>Anschluss Nah- / Fernwärmenetz</v>
      </c>
      <c r="G8" s="18"/>
      <c r="I8" s="32" t="s">
        <v>154</v>
      </c>
      <c r="J8" s="18" t="s">
        <v>179</v>
      </c>
    </row>
    <row r="9" spans="1:10" x14ac:dyDescent="0.25">
      <c r="B9" s="18" t="str">
        <f>B36</f>
        <v>Thermische Gebäudehülle</v>
      </c>
      <c r="D9" s="21" t="s">
        <v>262</v>
      </c>
      <c r="E9" s="18" t="str">
        <f t="shared" si="0"/>
        <v>Brennstoffzellenheizung</v>
      </c>
      <c r="F9" s="18"/>
      <c r="G9" s="18"/>
      <c r="I9" s="37" t="s">
        <v>83</v>
      </c>
      <c r="J9" s="18" t="s">
        <v>177</v>
      </c>
    </row>
    <row r="10" spans="1:10" x14ac:dyDescent="0.25">
      <c r="B10" s="18" t="str">
        <f>B31</f>
        <v>Stromspeicher</v>
      </c>
      <c r="D10" s="21" t="s">
        <v>217</v>
      </c>
      <c r="E10" s="19" t="str">
        <f t="shared" si="0"/>
        <v>Anschluss Nah- / Fernwärmenetz</v>
      </c>
      <c r="F10" s="19"/>
      <c r="G10" s="19"/>
      <c r="I10" s="32" t="s">
        <v>84</v>
      </c>
      <c r="J10" s="18" t="s">
        <v>178</v>
      </c>
    </row>
    <row r="11" spans="1:10" x14ac:dyDescent="0.25">
      <c r="B11" s="18" t="str">
        <f>B49</f>
        <v>Balkonkraftwerk</v>
      </c>
      <c r="I11" s="37" t="s">
        <v>162</v>
      </c>
      <c r="J11" s="19" t="s">
        <v>175</v>
      </c>
    </row>
    <row r="12" spans="1:10" x14ac:dyDescent="0.25">
      <c r="B12" s="19" t="str">
        <f>B51</f>
        <v>Dachbegrünung</v>
      </c>
      <c r="E12" s="17" t="s">
        <v>72</v>
      </c>
      <c r="F12" s="25" t="s">
        <v>230</v>
      </c>
      <c r="G12" s="25" t="s">
        <v>82</v>
      </c>
      <c r="H12" s="186" t="s">
        <v>271</v>
      </c>
      <c r="I12" s="71" t="s">
        <v>59</v>
      </c>
    </row>
    <row r="13" spans="1:10" x14ac:dyDescent="0.25">
      <c r="B13" s="17" t="s">
        <v>114</v>
      </c>
      <c r="E13" s="18" t="str">
        <f>B47</f>
        <v>Zentrale Lüftungsanlage</v>
      </c>
      <c r="F13" s="18" t="s">
        <v>231</v>
      </c>
      <c r="G13" s="18" t="s">
        <v>81</v>
      </c>
      <c r="H13" s="187" t="s">
        <v>272</v>
      </c>
      <c r="I13" s="19" t="s">
        <v>60</v>
      </c>
    </row>
    <row r="14" spans="1:10" x14ac:dyDescent="0.25">
      <c r="B14" s="18" t="s">
        <v>167</v>
      </c>
      <c r="E14" s="19" t="str">
        <f>B48</f>
        <v>Dezentrale Lüftungsanlage</v>
      </c>
      <c r="F14" s="22">
        <v>550</v>
      </c>
      <c r="G14" s="22">
        <v>50</v>
      </c>
      <c r="H14" s="188">
        <v>3000</v>
      </c>
    </row>
    <row r="15" spans="1:10" x14ac:dyDescent="0.25">
      <c r="B15" s="18" t="s">
        <v>218</v>
      </c>
    </row>
    <row r="16" spans="1:10" x14ac:dyDescent="0.25">
      <c r="B16" s="19" t="s">
        <v>149</v>
      </c>
    </row>
    <row r="17" spans="1:9" x14ac:dyDescent="0.25">
      <c r="A17" s="37" t="s">
        <v>79</v>
      </c>
      <c r="B17" s="38" t="s">
        <v>34</v>
      </c>
      <c r="C17" s="36"/>
      <c r="D17" s="36"/>
      <c r="E17" s="38" t="s">
        <v>44</v>
      </c>
      <c r="F17" s="38" t="s">
        <v>65</v>
      </c>
      <c r="G17" s="38" t="s">
        <v>45</v>
      </c>
      <c r="H17" s="38" t="s">
        <v>64</v>
      </c>
      <c r="I17" s="39" t="s">
        <v>51</v>
      </c>
    </row>
    <row r="18" spans="1:9" x14ac:dyDescent="0.25">
      <c r="A18" s="29" t="str">
        <f>Antragsdaten!E15</f>
        <v>-</v>
      </c>
      <c r="B18" s="59" t="s">
        <v>29</v>
      </c>
      <c r="C18" s="60"/>
      <c r="D18" s="30"/>
      <c r="E18" s="30"/>
      <c r="F18" s="30"/>
      <c r="G18" s="30"/>
      <c r="H18" s="30"/>
      <c r="I18" s="31"/>
    </row>
    <row r="19" spans="1:9" x14ac:dyDescent="0.25">
      <c r="A19" s="29"/>
      <c r="B19" s="61" t="s">
        <v>220</v>
      </c>
      <c r="C19" s="60">
        <v>500</v>
      </c>
      <c r="D19" s="30"/>
      <c r="E19" s="30"/>
      <c r="F19" s="30"/>
      <c r="G19" s="30"/>
      <c r="H19" s="30"/>
      <c r="I19" s="31"/>
    </row>
    <row r="20" spans="1:9" x14ac:dyDescent="0.25">
      <c r="A20" s="29"/>
      <c r="B20" s="61" t="s">
        <v>221</v>
      </c>
      <c r="C20" s="60">
        <v>800</v>
      </c>
      <c r="D20" s="30"/>
      <c r="E20" s="30"/>
      <c r="F20" s="30"/>
      <c r="G20" s="30"/>
      <c r="H20" s="30"/>
      <c r="I20" s="31"/>
    </row>
    <row r="21" spans="1:9" x14ac:dyDescent="0.25">
      <c r="A21" s="29"/>
      <c r="B21" s="60" t="s">
        <v>35</v>
      </c>
      <c r="C21" s="60">
        <v>2000</v>
      </c>
      <c r="D21" s="30"/>
      <c r="E21" s="30"/>
      <c r="F21" s="30"/>
      <c r="G21" s="30"/>
      <c r="H21" s="30"/>
      <c r="I21" s="31"/>
    </row>
    <row r="22" spans="1:9" x14ac:dyDescent="0.25">
      <c r="A22" s="29"/>
      <c r="B22" s="60" t="s">
        <v>147</v>
      </c>
      <c r="C22" s="60">
        <v>2000</v>
      </c>
      <c r="D22" s="30"/>
      <c r="E22" s="30"/>
      <c r="F22" s="30"/>
      <c r="G22" s="30"/>
      <c r="H22" s="30"/>
      <c r="I22" s="31"/>
    </row>
    <row r="23" spans="1:9" x14ac:dyDescent="0.25">
      <c r="A23" s="29"/>
      <c r="B23" s="60" t="s">
        <v>33</v>
      </c>
      <c r="C23" s="60">
        <v>3000</v>
      </c>
      <c r="D23" s="30"/>
      <c r="E23" s="30"/>
      <c r="F23" s="30"/>
      <c r="G23" s="30"/>
      <c r="H23" s="30"/>
      <c r="I23" s="31"/>
    </row>
    <row r="24" spans="1:9" x14ac:dyDescent="0.25">
      <c r="A24" s="29"/>
      <c r="B24" s="60" t="s">
        <v>37</v>
      </c>
      <c r="C24" s="60">
        <v>2000</v>
      </c>
      <c r="D24" s="30" t="str">
        <f>IF(E22=Hintergrunddaten!B28,"- Mindestanforderung: "&amp;Hintergrunddaten!E28&amp;" m² Kollektorfläche zur Heizungsunterstützung und/oder Trinkwarmwasserbereitung und 450 Liter Pufferspeichervolumen, max. "&amp;Hintergrunddaten!G28&amp;" m² Kollektorfläche","Maximal")</f>
        <v>Maximal</v>
      </c>
      <c r="E24" s="30"/>
      <c r="F24" s="30"/>
      <c r="G24" s="30"/>
      <c r="H24" s="30"/>
      <c r="I24" s="31"/>
    </row>
    <row r="25" spans="1:9" x14ac:dyDescent="0.25">
      <c r="A25" s="29"/>
      <c r="B25" s="60" t="s">
        <v>150</v>
      </c>
      <c r="C25" s="60">
        <v>1000</v>
      </c>
      <c r="D25" s="30"/>
      <c r="E25" s="30"/>
      <c r="F25" s="30"/>
      <c r="G25" s="30"/>
      <c r="H25" s="30"/>
      <c r="I25" s="31"/>
    </row>
    <row r="26" spans="1:9" x14ac:dyDescent="0.25">
      <c r="A26" s="29"/>
      <c r="B26" s="60" t="s">
        <v>148</v>
      </c>
      <c r="C26" s="60">
        <v>500</v>
      </c>
      <c r="D26" s="30"/>
      <c r="E26" s="30"/>
      <c r="F26" s="30"/>
      <c r="G26" s="30"/>
      <c r="H26" s="30"/>
      <c r="I26" s="31"/>
    </row>
    <row r="27" spans="1:9" x14ac:dyDescent="0.25">
      <c r="A27" s="29" t="str">
        <f>Antragsdaten!E21</f>
        <v>-</v>
      </c>
      <c r="B27" s="59" t="s">
        <v>224</v>
      </c>
      <c r="C27" s="60"/>
      <c r="D27" s="30"/>
      <c r="E27" s="30"/>
      <c r="F27" s="30"/>
      <c r="G27" s="30"/>
      <c r="H27" s="30"/>
      <c r="I27" s="31"/>
    </row>
    <row r="28" spans="1:9" x14ac:dyDescent="0.25">
      <c r="A28" s="29"/>
      <c r="B28" s="60" t="s">
        <v>30</v>
      </c>
      <c r="C28" s="60">
        <v>100</v>
      </c>
      <c r="D28" s="30" t="s">
        <v>43</v>
      </c>
      <c r="E28" s="60">
        <v>5</v>
      </c>
      <c r="F28" s="30">
        <f>C28*E28</f>
        <v>500</v>
      </c>
      <c r="G28" s="60">
        <v>30</v>
      </c>
      <c r="H28" s="30">
        <f>C28*G28</f>
        <v>3000</v>
      </c>
      <c r="I28" s="62">
        <v>50</v>
      </c>
    </row>
    <row r="29" spans="1:9" x14ac:dyDescent="0.25">
      <c r="A29" s="29"/>
      <c r="B29" s="60" t="s">
        <v>222</v>
      </c>
      <c r="C29" s="60">
        <v>150</v>
      </c>
      <c r="D29" s="30"/>
      <c r="E29" s="60">
        <v>1</v>
      </c>
      <c r="F29" s="30"/>
      <c r="G29" s="60">
        <v>1</v>
      </c>
      <c r="H29" s="30"/>
      <c r="I29" s="62">
        <v>50</v>
      </c>
    </row>
    <row r="30" spans="1:9" x14ac:dyDescent="0.25">
      <c r="A30" s="29"/>
      <c r="B30" s="60" t="s">
        <v>223</v>
      </c>
      <c r="C30" s="60">
        <v>300</v>
      </c>
      <c r="D30" s="30"/>
      <c r="E30" s="60">
        <v>1</v>
      </c>
      <c r="F30" s="30"/>
      <c r="G30" s="60">
        <v>1</v>
      </c>
      <c r="H30" s="30"/>
      <c r="I30" s="62">
        <v>50</v>
      </c>
    </row>
    <row r="31" spans="1:9" x14ac:dyDescent="0.25">
      <c r="A31" s="29" t="str">
        <f>Antragsdaten!E81</f>
        <v>-</v>
      </c>
      <c r="B31" s="59" t="s">
        <v>233</v>
      </c>
      <c r="C31" s="60"/>
      <c r="D31" s="30"/>
      <c r="E31" s="30"/>
      <c r="F31" s="30"/>
      <c r="G31" s="30"/>
      <c r="H31" s="30"/>
      <c r="I31" s="31"/>
    </row>
    <row r="32" spans="1:9" x14ac:dyDescent="0.25">
      <c r="A32" s="29"/>
      <c r="B32" s="60" t="s">
        <v>265</v>
      </c>
      <c r="C32" s="60">
        <v>100</v>
      </c>
      <c r="D32" s="30" t="s">
        <v>49</v>
      </c>
      <c r="E32" s="60">
        <v>5</v>
      </c>
      <c r="F32" s="30">
        <f>C32*E32</f>
        <v>500</v>
      </c>
      <c r="G32" s="60">
        <v>30</v>
      </c>
      <c r="H32" s="30">
        <f>C32*G32</f>
        <v>3000</v>
      </c>
      <c r="I32" s="62">
        <v>50</v>
      </c>
    </row>
    <row r="33" spans="1:9" x14ac:dyDescent="0.25">
      <c r="A33" s="29" t="str">
        <f>Antragsdaten!E40</f>
        <v>-</v>
      </c>
      <c r="B33" s="59" t="s">
        <v>244</v>
      </c>
      <c r="C33" s="60"/>
      <c r="D33" s="30"/>
      <c r="E33" s="30"/>
      <c r="F33" s="30"/>
      <c r="G33" s="30"/>
      <c r="H33" s="30"/>
      <c r="I33" s="31"/>
    </row>
    <row r="34" spans="1:9" x14ac:dyDescent="0.25">
      <c r="A34" s="29"/>
      <c r="B34" s="60" t="s">
        <v>246</v>
      </c>
      <c r="C34" s="60">
        <v>1000</v>
      </c>
      <c r="D34" s="30"/>
      <c r="E34" s="60">
        <v>1</v>
      </c>
      <c r="F34" s="30">
        <f>C34*E34</f>
        <v>1000</v>
      </c>
      <c r="G34" s="60">
        <v>1</v>
      </c>
      <c r="H34" s="30">
        <f>C34*G34</f>
        <v>1000</v>
      </c>
      <c r="I34" s="62">
        <v>50</v>
      </c>
    </row>
    <row r="35" spans="1:9" x14ac:dyDescent="0.25">
      <c r="A35" s="29"/>
      <c r="B35" s="60" t="s">
        <v>245</v>
      </c>
      <c r="C35" s="60">
        <v>1500</v>
      </c>
      <c r="D35" s="30"/>
      <c r="E35" s="60">
        <v>1</v>
      </c>
      <c r="F35" s="30">
        <f>C35*E35</f>
        <v>1500</v>
      </c>
      <c r="G35" s="60">
        <v>1</v>
      </c>
      <c r="H35" s="30">
        <f>C35*G35</f>
        <v>1500</v>
      </c>
      <c r="I35" s="62">
        <v>50</v>
      </c>
    </row>
    <row r="36" spans="1:9" x14ac:dyDescent="0.25">
      <c r="A36" s="29" t="str">
        <f>Antragsdaten!E46</f>
        <v>-</v>
      </c>
      <c r="B36" s="59" t="s">
        <v>232</v>
      </c>
      <c r="C36" s="60"/>
      <c r="D36" s="30"/>
      <c r="E36" s="30"/>
      <c r="F36" s="30"/>
      <c r="G36" s="30"/>
      <c r="H36" s="30"/>
      <c r="I36" s="31"/>
    </row>
    <row r="37" spans="1:9" x14ac:dyDescent="0.25">
      <c r="A37" s="29"/>
      <c r="B37" s="60" t="s">
        <v>57</v>
      </c>
      <c r="C37" s="60">
        <v>16</v>
      </c>
      <c r="D37" s="30" t="s">
        <v>43</v>
      </c>
      <c r="E37" s="60">
        <v>20</v>
      </c>
      <c r="F37" s="30">
        <f>C37*E37</f>
        <v>320</v>
      </c>
      <c r="G37" s="60">
        <v>400</v>
      </c>
      <c r="H37" s="30">
        <f>C37*G37</f>
        <v>6400</v>
      </c>
      <c r="I37" s="62">
        <v>50</v>
      </c>
    </row>
    <row r="38" spans="1:9" x14ac:dyDescent="0.25">
      <c r="A38" s="29"/>
      <c r="B38" s="60" t="s">
        <v>50</v>
      </c>
      <c r="C38" s="60">
        <v>8</v>
      </c>
      <c r="D38" s="30" t="s">
        <v>43</v>
      </c>
      <c r="E38" s="48" t="s">
        <v>66</v>
      </c>
      <c r="F38" s="30">
        <f>C38*E37</f>
        <v>160</v>
      </c>
      <c r="G38" s="48" t="s">
        <v>66</v>
      </c>
      <c r="H38" s="30">
        <f>C38*G37</f>
        <v>3200</v>
      </c>
      <c r="I38" s="63"/>
    </row>
    <row r="39" spans="1:9" x14ac:dyDescent="0.25">
      <c r="A39" s="29"/>
      <c r="B39" s="60" t="s">
        <v>124</v>
      </c>
      <c r="C39" s="60">
        <v>10</v>
      </c>
      <c r="D39" s="30" t="s">
        <v>43</v>
      </c>
      <c r="E39" s="60">
        <v>20</v>
      </c>
      <c r="F39" s="30">
        <f>C39*E39</f>
        <v>200</v>
      </c>
      <c r="G39" s="60">
        <v>200</v>
      </c>
      <c r="H39" s="30">
        <f>C39*G39</f>
        <v>2000</v>
      </c>
      <c r="I39" s="62">
        <f>I37</f>
        <v>50</v>
      </c>
    </row>
    <row r="40" spans="1:9" x14ac:dyDescent="0.25">
      <c r="A40" s="29"/>
      <c r="B40" s="60" t="s">
        <v>50</v>
      </c>
      <c r="C40" s="60">
        <v>8</v>
      </c>
      <c r="D40" s="30" t="s">
        <v>43</v>
      </c>
      <c r="E40" s="48" t="s">
        <v>66</v>
      </c>
      <c r="F40" s="30">
        <f>C40*E39</f>
        <v>160</v>
      </c>
      <c r="G40" s="48" t="s">
        <v>66</v>
      </c>
      <c r="H40" s="30">
        <f>C40*G39</f>
        <v>1600</v>
      </c>
      <c r="I40" s="63"/>
    </row>
    <row r="41" spans="1:9" x14ac:dyDescent="0.25">
      <c r="A41" s="29"/>
      <c r="B41" s="60" t="s">
        <v>125</v>
      </c>
      <c r="C41" s="60">
        <v>8</v>
      </c>
      <c r="D41" s="30" t="s">
        <v>43</v>
      </c>
      <c r="E41" s="60">
        <v>20</v>
      </c>
      <c r="F41" s="30">
        <f>C41*E41</f>
        <v>160</v>
      </c>
      <c r="G41" s="60">
        <v>200</v>
      </c>
      <c r="H41" s="30">
        <f>C41*G41</f>
        <v>1600</v>
      </c>
      <c r="I41" s="62">
        <f>I39</f>
        <v>50</v>
      </c>
    </row>
    <row r="42" spans="1:9" x14ac:dyDescent="0.25">
      <c r="A42" s="29"/>
      <c r="B42" s="60" t="s">
        <v>50</v>
      </c>
      <c r="C42" s="60">
        <v>8</v>
      </c>
      <c r="D42" s="30" t="s">
        <v>43</v>
      </c>
      <c r="E42" s="48" t="s">
        <v>66</v>
      </c>
      <c r="F42" s="30">
        <f>C42*E41</f>
        <v>160</v>
      </c>
      <c r="G42" s="48" t="s">
        <v>66</v>
      </c>
      <c r="H42" s="30">
        <f>C42*G41</f>
        <v>1600</v>
      </c>
      <c r="I42" s="63"/>
    </row>
    <row r="43" spans="1:9" x14ac:dyDescent="0.25">
      <c r="A43" s="29"/>
      <c r="B43" s="60" t="s">
        <v>237</v>
      </c>
      <c r="C43" s="60">
        <v>70</v>
      </c>
      <c r="D43" s="30" t="s">
        <v>43</v>
      </c>
      <c r="E43" s="184">
        <v>5</v>
      </c>
      <c r="F43" s="30">
        <f>C43*E43</f>
        <v>350</v>
      </c>
      <c r="G43" s="184">
        <v>30</v>
      </c>
      <c r="H43" s="30">
        <f>C43*G43</f>
        <v>2100</v>
      </c>
      <c r="I43" s="62">
        <v>50</v>
      </c>
    </row>
    <row r="44" spans="1:9" x14ac:dyDescent="0.25">
      <c r="A44" s="29"/>
      <c r="B44" s="60" t="s">
        <v>236</v>
      </c>
      <c r="C44" s="60">
        <v>100</v>
      </c>
      <c r="D44" s="30" t="s">
        <v>43</v>
      </c>
      <c r="E44" s="48" t="s">
        <v>66</v>
      </c>
      <c r="F44" s="30">
        <f>C44*E43</f>
        <v>500</v>
      </c>
      <c r="G44" s="48" t="s">
        <v>66</v>
      </c>
      <c r="H44" s="30">
        <f>C44*G43</f>
        <v>3000</v>
      </c>
      <c r="I44" s="62">
        <f>I43</f>
        <v>50</v>
      </c>
    </row>
    <row r="45" spans="1:9" x14ac:dyDescent="0.25">
      <c r="A45" s="29"/>
      <c r="B45" s="60" t="s">
        <v>238</v>
      </c>
      <c r="C45" s="60">
        <v>40</v>
      </c>
      <c r="D45" s="30" t="s">
        <v>43</v>
      </c>
      <c r="E45" s="184">
        <v>0</v>
      </c>
      <c r="F45" s="30">
        <f t="shared" ref="F45" si="1">C45*E45</f>
        <v>0</v>
      </c>
      <c r="G45" s="184">
        <v>30</v>
      </c>
      <c r="H45" s="30">
        <f t="shared" ref="H45" si="2">C45*G45</f>
        <v>1200</v>
      </c>
      <c r="I45" s="62">
        <f>I43</f>
        <v>50</v>
      </c>
    </row>
    <row r="46" spans="1:9" x14ac:dyDescent="0.25">
      <c r="A46" s="29" t="str">
        <f>Antragsdaten!E33</f>
        <v>-</v>
      </c>
      <c r="B46" s="59" t="s">
        <v>31</v>
      </c>
      <c r="C46" s="60"/>
      <c r="D46" s="30"/>
      <c r="E46" s="30"/>
      <c r="F46" s="30"/>
      <c r="G46" s="30"/>
      <c r="H46" s="30"/>
      <c r="I46" s="31"/>
    </row>
    <row r="47" spans="1:9" x14ac:dyDescent="0.25">
      <c r="A47" s="29"/>
      <c r="B47" s="60" t="s">
        <v>46</v>
      </c>
      <c r="C47" s="60">
        <v>1000</v>
      </c>
      <c r="D47" s="30"/>
      <c r="E47" s="60">
        <v>1</v>
      </c>
      <c r="F47" s="30">
        <f>E47*C47</f>
        <v>1000</v>
      </c>
      <c r="G47" s="60">
        <v>1</v>
      </c>
      <c r="H47" s="30">
        <f>C47*G47</f>
        <v>1000</v>
      </c>
      <c r="I47" s="63" t="s">
        <v>75</v>
      </c>
    </row>
    <row r="48" spans="1:9" x14ac:dyDescent="0.25">
      <c r="A48" s="29"/>
      <c r="B48" s="60" t="s">
        <v>47</v>
      </c>
      <c r="C48" s="60">
        <v>100</v>
      </c>
      <c r="D48" s="30" t="s">
        <v>48</v>
      </c>
      <c r="E48" s="60">
        <v>2</v>
      </c>
      <c r="F48" s="30">
        <f>E48*C48</f>
        <v>200</v>
      </c>
      <c r="G48" s="60">
        <v>16</v>
      </c>
      <c r="H48" s="30">
        <f>C48*G48</f>
        <v>1600</v>
      </c>
      <c r="I48" s="62">
        <v>50</v>
      </c>
    </row>
    <row r="49" spans="1:9" x14ac:dyDescent="0.25">
      <c r="A49" s="29" t="str">
        <f>Antragsdaten!E90</f>
        <v>-</v>
      </c>
      <c r="B49" s="59" t="s">
        <v>225</v>
      </c>
      <c r="C49" s="60"/>
      <c r="D49" s="30"/>
      <c r="E49" s="30"/>
      <c r="F49" s="30"/>
      <c r="G49" s="30"/>
      <c r="H49" s="30"/>
      <c r="I49" s="31"/>
    </row>
    <row r="50" spans="1:9" x14ac:dyDescent="0.25">
      <c r="A50" s="29"/>
      <c r="B50" s="61" t="s">
        <v>229</v>
      </c>
      <c r="C50" s="60">
        <v>100</v>
      </c>
      <c r="D50" s="30" t="s">
        <v>48</v>
      </c>
      <c r="E50" s="30">
        <v>1</v>
      </c>
      <c r="F50" s="30">
        <f>E50*C50</f>
        <v>100</v>
      </c>
      <c r="G50" s="30">
        <v>1</v>
      </c>
      <c r="H50" s="30">
        <f>C50*G50</f>
        <v>100</v>
      </c>
      <c r="I50" s="62">
        <v>50</v>
      </c>
    </row>
    <row r="51" spans="1:9" x14ac:dyDescent="0.25">
      <c r="A51" s="29" t="str">
        <f>Antragsdaten!E98</f>
        <v>-</v>
      </c>
      <c r="B51" s="59" t="s">
        <v>266</v>
      </c>
      <c r="C51" s="60"/>
      <c r="D51" s="30"/>
      <c r="E51" s="30"/>
      <c r="F51" s="30"/>
      <c r="G51" s="30"/>
      <c r="H51" s="30"/>
      <c r="I51" s="31"/>
    </row>
    <row r="52" spans="1:9" x14ac:dyDescent="0.25">
      <c r="A52" s="32"/>
      <c r="B52" s="64" t="s">
        <v>267</v>
      </c>
      <c r="C52" s="65">
        <v>15</v>
      </c>
      <c r="D52" s="33" t="s">
        <v>43</v>
      </c>
      <c r="E52" s="65">
        <v>10</v>
      </c>
      <c r="F52" s="33">
        <f>C52*E52</f>
        <v>150</v>
      </c>
      <c r="G52" s="65">
        <v>300</v>
      </c>
      <c r="H52" s="33">
        <f>C52*G52</f>
        <v>4500</v>
      </c>
      <c r="I52" s="66">
        <v>50</v>
      </c>
    </row>
    <row r="54" spans="1:9" x14ac:dyDescent="0.25">
      <c r="B54" s="11" t="s">
        <v>69</v>
      </c>
    </row>
    <row r="55" spans="1:9" x14ac:dyDescent="0.25">
      <c r="B55" s="21" t="s">
        <v>70</v>
      </c>
    </row>
    <row r="56" spans="1:9" x14ac:dyDescent="0.25">
      <c r="B56" s="22" t="s">
        <v>71</v>
      </c>
    </row>
    <row r="59" spans="1:9" ht="23.25" x14ac:dyDescent="0.35">
      <c r="A59" s="58" t="s">
        <v>116</v>
      </c>
    </row>
    <row r="61" spans="1:9" x14ac:dyDescent="0.25">
      <c r="B61" s="11" t="s">
        <v>106</v>
      </c>
    </row>
    <row r="62" spans="1:9" x14ac:dyDescent="0.25">
      <c r="B62" s="37" t="s">
        <v>105</v>
      </c>
      <c r="C62" s="38" t="s">
        <v>102</v>
      </c>
      <c r="D62" s="38" t="s">
        <v>103</v>
      </c>
      <c r="E62" s="38" t="s">
        <v>104</v>
      </c>
      <c r="F62" s="39" t="s">
        <v>104</v>
      </c>
    </row>
    <row r="63" spans="1:9" x14ac:dyDescent="0.25">
      <c r="B63" s="29" t="str">
        <f>B5</f>
        <v>Austauschprämie Zentralheizung</v>
      </c>
      <c r="C63" s="30" t="s">
        <v>108</v>
      </c>
      <c r="D63" s="30" t="s">
        <v>87</v>
      </c>
      <c r="E63" s="30"/>
      <c r="F63" s="31"/>
    </row>
    <row r="64" spans="1:9" x14ac:dyDescent="0.25">
      <c r="B64" s="29" t="str">
        <f>B6</f>
        <v>Erneuerbare Energien</v>
      </c>
      <c r="C64" s="30" t="s">
        <v>253</v>
      </c>
      <c r="D64" s="30" t="str">
        <f>IF(G87=B28,"Kollektorfläche Solarthermie: ","")</f>
        <v/>
      </c>
      <c r="E64" s="30" t="str">
        <f>IF(D64="","","Größe Pufferspeicher:")</f>
        <v/>
      </c>
      <c r="F64" s="31"/>
    </row>
    <row r="65" spans="2:12" x14ac:dyDescent="0.25">
      <c r="B65" s="29" t="str">
        <f>B33</f>
        <v>Regenwasserzisterne</v>
      </c>
      <c r="C65" s="30" t="s">
        <v>253</v>
      </c>
      <c r="D65" s="30"/>
      <c r="E65" s="30"/>
      <c r="F65" s="31"/>
    </row>
    <row r="66" spans="2:12" x14ac:dyDescent="0.25">
      <c r="B66" s="29" t="str">
        <f>B10</f>
        <v>Stromspeicher</v>
      </c>
      <c r="C66" s="30" t="s">
        <v>145</v>
      </c>
      <c r="D66" s="30" t="s">
        <v>146</v>
      </c>
      <c r="E66" s="30" t="s">
        <v>109</v>
      </c>
      <c r="F66" s="31"/>
    </row>
    <row r="67" spans="2:12" x14ac:dyDescent="0.25">
      <c r="B67" s="29" t="str">
        <f>B9</f>
        <v>Thermische Gebäudehülle</v>
      </c>
      <c r="C67" s="30" t="s">
        <v>126</v>
      </c>
      <c r="D67" s="30" t="s">
        <v>127</v>
      </c>
      <c r="E67" s="30" t="s">
        <v>110</v>
      </c>
      <c r="F67" s="31" t="s">
        <v>250</v>
      </c>
    </row>
    <row r="68" spans="2:12" x14ac:dyDescent="0.25">
      <c r="B68" s="29" t="str">
        <f>B7</f>
        <v>Lüftungsanlage</v>
      </c>
      <c r="C68" s="30" t="s">
        <v>111</v>
      </c>
      <c r="D68" s="30" t="s">
        <v>112</v>
      </c>
      <c r="E68" s="30"/>
      <c r="F68" s="31"/>
    </row>
    <row r="69" spans="2:12" x14ac:dyDescent="0.25">
      <c r="B69" s="29" t="str">
        <f>B11</f>
        <v>Balkonkraftwerk</v>
      </c>
      <c r="C69" s="30" t="s">
        <v>254</v>
      </c>
      <c r="D69" s="30" t="s">
        <v>255</v>
      </c>
      <c r="E69" s="30"/>
      <c r="F69" s="31"/>
    </row>
    <row r="70" spans="2:12" x14ac:dyDescent="0.25">
      <c r="B70" s="32" t="str">
        <f>B12</f>
        <v>Dachbegrünung</v>
      </c>
      <c r="C70" s="33" t="s">
        <v>215</v>
      </c>
      <c r="D70" s="33"/>
      <c r="E70" s="33"/>
      <c r="F70" s="34"/>
    </row>
    <row r="73" spans="2:12" x14ac:dyDescent="0.25">
      <c r="B73" s="11" t="s">
        <v>113</v>
      </c>
    </row>
    <row r="74" spans="2:12" x14ac:dyDescent="0.25">
      <c r="B74" s="35"/>
      <c r="C74" s="38" t="s">
        <v>89</v>
      </c>
      <c r="D74" s="38" t="s">
        <v>88</v>
      </c>
      <c r="E74" s="54" t="s">
        <v>85</v>
      </c>
      <c r="F74" s="38" t="s">
        <v>86</v>
      </c>
      <c r="G74" s="39" t="s">
        <v>91</v>
      </c>
      <c r="H74" s="11"/>
      <c r="I74" s="123" t="s">
        <v>133</v>
      </c>
      <c r="J74" s="124" t="s">
        <v>188</v>
      </c>
      <c r="K74" s="124" t="s">
        <v>187</v>
      </c>
      <c r="L74" s="125" t="s">
        <v>186</v>
      </c>
    </row>
    <row r="75" spans="2:12" x14ac:dyDescent="0.25">
      <c r="B75" s="25" t="str">
        <f>B5</f>
        <v>Austauschprämie Zentralheizung</v>
      </c>
      <c r="C75" s="43">
        <f>IF($A$18=$I$10,1,0)</f>
        <v>0</v>
      </c>
      <c r="D75" s="43"/>
      <c r="E75" s="70" t="s">
        <v>92</v>
      </c>
      <c r="F75" s="43"/>
      <c r="G75" s="44" t="str">
        <f>B18</f>
        <v>Austauschprämie Zentralheizung</v>
      </c>
      <c r="H75" s="11"/>
      <c r="I75" s="112">
        <f>C75</f>
        <v>0</v>
      </c>
      <c r="J75" s="30" t="str">
        <f>IF(Antragsdaten!$E$10="Ja","Das gültige Materialangebot","Das gültige Angebot des Fachbetriebs")</f>
        <v>Das gültige Angebot des Fachbetriebs</v>
      </c>
      <c r="K75" s="30" t="str">
        <f>IF(Antragsdaten!E108="Ja","Eine aktuelle De-Minimis-Erklärung ","")&amp;IF(AND(Antragsdaten!E107=J8,Antragsdaten!E108="Ja")=TRUE(),"und ","")&amp;IF(Antragsdaten!E107=J8,"Den Beschluss der WEG über die Antragstellung","")</f>
        <v/>
      </c>
      <c r="L75" s="31"/>
    </row>
    <row r="76" spans="2:12" x14ac:dyDescent="0.25">
      <c r="B76" s="55"/>
      <c r="C76" s="48" t="str">
        <f t="shared" ref="C76:C83" si="3">$C$75&amp;"."&amp;F76</f>
        <v>0.1</v>
      </c>
      <c r="D76" s="45"/>
      <c r="E76" s="46"/>
      <c r="F76" s="30">
        <v>1</v>
      </c>
      <c r="G76" s="31">
        <f>Antragsdaten!E16</f>
        <v>0</v>
      </c>
      <c r="I76" s="29"/>
      <c r="J76" s="30"/>
      <c r="K76" s="30"/>
      <c r="L76" s="31"/>
    </row>
    <row r="77" spans="2:12" x14ac:dyDescent="0.25">
      <c r="B77" s="55"/>
      <c r="C77" s="48" t="str">
        <f t="shared" si="3"/>
        <v>0.2</v>
      </c>
      <c r="D77" s="45"/>
      <c r="E77" s="46"/>
      <c r="F77" s="30">
        <v>2</v>
      </c>
      <c r="G77" s="31">
        <f>Antragsdaten!E17</f>
        <v>0</v>
      </c>
      <c r="I77" s="29"/>
      <c r="J77" s="30"/>
      <c r="K77" s="30"/>
      <c r="L77" s="31"/>
    </row>
    <row r="78" spans="2:12" x14ac:dyDescent="0.25">
      <c r="B78" s="55"/>
      <c r="C78" s="48" t="str">
        <f t="shared" si="3"/>
        <v>0.</v>
      </c>
      <c r="D78" s="45"/>
      <c r="E78" s="46"/>
      <c r="F78" s="30"/>
      <c r="G78" s="31"/>
      <c r="I78" s="29"/>
      <c r="J78" s="30"/>
      <c r="K78" s="30"/>
      <c r="L78" s="31"/>
    </row>
    <row r="79" spans="2:12" x14ac:dyDescent="0.25">
      <c r="B79" s="55"/>
      <c r="C79" s="48" t="str">
        <f t="shared" si="3"/>
        <v>0.</v>
      </c>
      <c r="D79" s="45"/>
      <c r="E79" s="46"/>
      <c r="F79" s="30"/>
      <c r="G79" s="31"/>
      <c r="I79" s="29"/>
      <c r="J79" s="30"/>
      <c r="K79" s="30"/>
      <c r="L79" s="31"/>
    </row>
    <row r="80" spans="2:12" x14ac:dyDescent="0.25">
      <c r="B80" s="55"/>
      <c r="C80" s="48" t="str">
        <f t="shared" si="3"/>
        <v>0.</v>
      </c>
      <c r="D80" s="45"/>
      <c r="E80" s="46"/>
      <c r="F80" s="30"/>
      <c r="G80" s="31"/>
      <c r="I80" s="29"/>
      <c r="J80" s="30"/>
      <c r="K80" s="30"/>
      <c r="L80" s="31"/>
    </row>
    <row r="81" spans="2:12" x14ac:dyDescent="0.25">
      <c r="B81" s="55"/>
      <c r="C81" s="48" t="str">
        <f t="shared" si="3"/>
        <v>0.</v>
      </c>
      <c r="D81" s="45"/>
      <c r="E81" s="46"/>
      <c r="F81" s="30"/>
      <c r="G81" s="31"/>
      <c r="I81" s="29"/>
      <c r="J81" s="30"/>
      <c r="K81" s="30"/>
      <c r="L81" s="31"/>
    </row>
    <row r="82" spans="2:12" x14ac:dyDescent="0.25">
      <c r="B82" s="55"/>
      <c r="C82" s="48" t="str">
        <f t="shared" si="3"/>
        <v>0.</v>
      </c>
      <c r="D82" s="45"/>
      <c r="E82" s="46"/>
      <c r="F82" s="30"/>
      <c r="G82" s="31"/>
      <c r="I82" s="29"/>
      <c r="J82" s="30"/>
      <c r="K82" s="30"/>
      <c r="L82" s="31"/>
    </row>
    <row r="83" spans="2:12" x14ac:dyDescent="0.25">
      <c r="B83" s="56"/>
      <c r="C83" s="50" t="str">
        <f t="shared" si="3"/>
        <v>0.</v>
      </c>
      <c r="D83" s="51"/>
      <c r="E83" s="52"/>
      <c r="F83" s="33"/>
      <c r="G83" s="34"/>
      <c r="I83" s="29"/>
      <c r="J83" s="30"/>
      <c r="K83" s="30"/>
      <c r="L83" s="31"/>
    </row>
    <row r="84" spans="2:12" x14ac:dyDescent="0.25">
      <c r="B84" s="25" t="str">
        <f>B33</f>
        <v>Regenwasserzisterne</v>
      </c>
      <c r="C84" s="43">
        <f>IF($A$33=$I$10,1,0)</f>
        <v>0</v>
      </c>
      <c r="D84" s="43"/>
      <c r="E84" s="70" t="s">
        <v>93</v>
      </c>
      <c r="F84" s="43"/>
      <c r="G84" s="44" t="str">
        <f>B33</f>
        <v>Regenwasserzisterne</v>
      </c>
      <c r="H84" s="11"/>
      <c r="I84" s="112">
        <f>C84</f>
        <v>0</v>
      </c>
      <c r="J84" s="30" t="str">
        <f>IF(Antragsdaten!$E$10="Ja","Das gültige Materialangebot","Das gültige Angebot des Fachbetriebs")</f>
        <v>Das gültige Angebot des Fachbetriebs</v>
      </c>
      <c r="K84" s="30" t="str">
        <f>IF(Antragsdaten!E108="Ja","Eine aktuelle De-Minimis-Erklärung ","")&amp;IF(AND(Antragsdaten!E107=J8,Antragsdaten!E108="Ja")=TRUE(),"und ","")&amp;IF(Antragsdaten!E107=J8,"Den Beschluss der WEG über die Antragstellung","")</f>
        <v/>
      </c>
      <c r="L84" s="31"/>
    </row>
    <row r="85" spans="2:12" x14ac:dyDescent="0.25">
      <c r="B85" s="56"/>
      <c r="C85" s="50" t="str">
        <f>$C$84&amp;"."&amp;F85</f>
        <v>0.1</v>
      </c>
      <c r="D85" s="51"/>
      <c r="E85" s="52"/>
      <c r="F85" s="33">
        <v>1</v>
      </c>
      <c r="G85" s="156">
        <f>Antragsdaten!E41</f>
        <v>0</v>
      </c>
      <c r="I85" s="29"/>
      <c r="J85" s="30"/>
      <c r="K85" s="30"/>
      <c r="L85" s="31"/>
    </row>
    <row r="86" spans="2:12" x14ac:dyDescent="0.25">
      <c r="B86" s="25" t="str">
        <f>B64</f>
        <v>Erneuerbare Energien</v>
      </c>
      <c r="C86" s="43">
        <f>IF($A$27=$I$10,1,0)</f>
        <v>0</v>
      </c>
      <c r="D86" s="43"/>
      <c r="E86" s="70" t="s">
        <v>94</v>
      </c>
      <c r="F86" s="43"/>
      <c r="G86" s="44" t="str">
        <f>B27</f>
        <v>Erneuerbare Energien</v>
      </c>
      <c r="H86" s="11"/>
      <c r="I86" s="112">
        <f>C86</f>
        <v>0</v>
      </c>
      <c r="J86" s="30" t="str">
        <f>IF(Antragsdaten!$E$10="Ja","Das gültige Materialangebot","Das gültige Angebot des Fachbetriebs")</f>
        <v>Das gültige Angebot des Fachbetriebs</v>
      </c>
      <c r="K86" s="30" t="str">
        <f>IF(Antragsdaten!E108="Ja","Eine aktuelle De-Minimis-Erklärung ","")&amp;IF(AND(Antragsdaten!E107=J8,Antragsdaten!E108="Ja")=TRUE(),"und ","")&amp;IF(Antragsdaten!E107=J8,"Den Beschluss der WEG über die Antragstellung","")</f>
        <v/>
      </c>
      <c r="L86" s="31"/>
    </row>
    <row r="87" spans="2:12" x14ac:dyDescent="0.25">
      <c r="B87" s="55"/>
      <c r="C87" s="48" t="str">
        <f>$C$86&amp;"."&amp;F87</f>
        <v>0.1</v>
      </c>
      <c r="D87" s="45"/>
      <c r="E87" s="46"/>
      <c r="F87" s="30">
        <v>1</v>
      </c>
      <c r="G87" s="31">
        <f>Antragsdaten!E22</f>
        <v>0</v>
      </c>
      <c r="I87" s="29"/>
      <c r="J87" s="30"/>
      <c r="K87" s="30"/>
      <c r="L87" s="31"/>
    </row>
    <row r="88" spans="2:12" x14ac:dyDescent="0.25">
      <c r="B88" s="55"/>
      <c r="C88" s="48" t="str">
        <f>$C$86&amp;"."&amp;F88</f>
        <v>0.2</v>
      </c>
      <c r="D88" s="45"/>
      <c r="E88" s="46"/>
      <c r="F88" s="30">
        <v>2</v>
      </c>
      <c r="G88" s="31" t="str">
        <f>IF(G87=B28,ROUNDDOWN(Antragsdaten!E27,1)&amp;" m²","")</f>
        <v/>
      </c>
      <c r="I88" s="29"/>
      <c r="J88" s="30"/>
      <c r="K88" s="30"/>
      <c r="L88" s="31"/>
    </row>
    <row r="89" spans="2:12" x14ac:dyDescent="0.25">
      <c r="B89" s="56"/>
      <c r="C89" s="50" t="str">
        <f>$C$86&amp;"."&amp;F89</f>
        <v>0.3</v>
      </c>
      <c r="D89" s="51"/>
      <c r="E89" s="52"/>
      <c r="F89" s="33">
        <v>3</v>
      </c>
      <c r="G89" s="34" t="str">
        <f>IF(G88="","",ROUNDDOWN(Antragsdaten!E28,0)&amp;" Liter")</f>
        <v/>
      </c>
      <c r="I89" s="29"/>
      <c r="J89" s="30"/>
      <c r="K89" s="30"/>
      <c r="L89" s="31"/>
    </row>
    <row r="90" spans="2:12" x14ac:dyDescent="0.25">
      <c r="B90" s="25" t="str">
        <f>B66</f>
        <v>Stromspeicher</v>
      </c>
      <c r="C90" s="43">
        <f>IF($A$31=$I$10,1,0)</f>
        <v>0</v>
      </c>
      <c r="D90" s="43"/>
      <c r="E90" s="70" t="s">
        <v>95</v>
      </c>
      <c r="F90" s="43"/>
      <c r="G90" s="44" t="str">
        <f>B31</f>
        <v>Stromspeicher</v>
      </c>
      <c r="H90" s="11"/>
      <c r="I90" s="112">
        <f>C90</f>
        <v>0</v>
      </c>
      <c r="J90" s="30" t="str">
        <f>IF(Antragsdaten!$E$10="Ja","Das gültige Materialangebot","Das gültige Angebot des Fachbetriebs")</f>
        <v>Das gültige Angebot des Fachbetriebs</v>
      </c>
      <c r="K90" s="30" t="str">
        <f>IF(Antragsdaten!E108="Ja","Eine aktuelle De-Minimis-Erklärung ","")&amp;IF(AND(Antragsdaten!E107=J8,Antragsdaten!E108="Ja")=TRUE(),"und ","")&amp;IF(Antragsdaten!E107=J8,"Den Beschluss der WEG über die Antragstellung","")</f>
        <v/>
      </c>
      <c r="L90" s="31"/>
    </row>
    <row r="91" spans="2:12" x14ac:dyDescent="0.25">
      <c r="B91" s="55"/>
      <c r="C91" s="48" t="str">
        <f>$C$90&amp;"."&amp;F91</f>
        <v>0.1</v>
      </c>
      <c r="D91" s="45"/>
      <c r="E91" s="46"/>
      <c r="F91" s="30">
        <v>1</v>
      </c>
      <c r="G91" s="49" t="str">
        <f>ROUNDDOWN(Antragsdaten!E85,1)&amp;" kWp"</f>
        <v>0 kWp</v>
      </c>
      <c r="I91" s="29"/>
      <c r="J91" s="30"/>
      <c r="K91" s="30"/>
      <c r="L91" s="31"/>
    </row>
    <row r="92" spans="2:12" x14ac:dyDescent="0.25">
      <c r="B92" s="55"/>
      <c r="C92" s="48" t="str">
        <f>$C$90&amp;"."&amp;F92</f>
        <v>0.2</v>
      </c>
      <c r="D92" s="45"/>
      <c r="E92" s="46"/>
      <c r="F92" s="47">
        <v>2</v>
      </c>
      <c r="G92" s="49" t="str">
        <f>ROUNDDOWN(Antragsdaten!E84,1)&amp;" kWh"</f>
        <v>0 kWh</v>
      </c>
      <c r="I92" s="29"/>
      <c r="J92" s="30"/>
      <c r="K92" s="30"/>
      <c r="L92" s="31"/>
    </row>
    <row r="93" spans="2:12" x14ac:dyDescent="0.25">
      <c r="B93" s="56"/>
      <c r="C93" s="50" t="str">
        <f>$C$90&amp;"."&amp;F93</f>
        <v>0.3</v>
      </c>
      <c r="D93" s="51"/>
      <c r="E93" s="52"/>
      <c r="F93" s="33">
        <v>3</v>
      </c>
      <c r="G93" s="57" t="str">
        <f>Antragsdaten!E86&amp;" kWh"</f>
        <v>0 kWh</v>
      </c>
      <c r="I93" s="29"/>
      <c r="J93" s="30"/>
      <c r="K93" s="30"/>
      <c r="L93" s="31"/>
    </row>
    <row r="94" spans="2:12" x14ac:dyDescent="0.25">
      <c r="B94" s="25" t="str">
        <f>B67</f>
        <v>Thermische Gebäudehülle</v>
      </c>
      <c r="C94" s="43">
        <f>IF($A$36=$I$10,1,0)</f>
        <v>0</v>
      </c>
      <c r="D94" s="43"/>
      <c r="E94" s="70" t="s">
        <v>96</v>
      </c>
      <c r="F94" s="43"/>
      <c r="G94" s="44" t="str">
        <f>B36</f>
        <v>Thermische Gebäudehülle</v>
      </c>
      <c r="H94" s="11"/>
      <c r="I94" s="112">
        <f>C94</f>
        <v>0</v>
      </c>
      <c r="J94" s="30" t="str">
        <f>IF(Antragsdaten!$E$10="Ja","Das gültige Materialangebot","Das gültige Angebot des Fachbetriebs")</f>
        <v>Das gültige Angebot des Fachbetriebs</v>
      </c>
      <c r="K94" s="30" t="s">
        <v>192</v>
      </c>
      <c r="L94" s="31" t="str">
        <f>IF(Antragsdaten!E108="Ja","Eine aktuelle De-Minimis-Erklärung ","")&amp;IF(AND(Antragsdaten!E107=J8,Antragsdaten!E108="Ja")=TRUE(),"und ","")&amp;IF(Antragsdaten!E107=J8,"Den Beschluss der WEG über die Antragstellung","")</f>
        <v/>
      </c>
    </row>
    <row r="95" spans="2:12" x14ac:dyDescent="0.25">
      <c r="B95" s="55"/>
      <c r="C95" s="48" t="str">
        <f>$C$94&amp;"."&amp;F95</f>
        <v>0.1</v>
      </c>
      <c r="D95" s="45">
        <f>IF(Antragsdaten!H51="OK",1,0)</f>
        <v>0</v>
      </c>
      <c r="E95" s="46"/>
      <c r="F95" s="30">
        <v>1</v>
      </c>
      <c r="G95" s="31" t="str">
        <f>IF(Antragsdaten!H51="OK",ROUNDDOWN(Antragsdaten!E51,0)&amp;" m²"&amp;G96,"-")</f>
        <v>-</v>
      </c>
      <c r="I95" s="29"/>
      <c r="J95" s="30"/>
      <c r="K95" s="30"/>
      <c r="L95" s="31"/>
    </row>
    <row r="96" spans="2:12" x14ac:dyDescent="0.25">
      <c r="B96" s="55"/>
      <c r="C96" s="48"/>
      <c r="D96" s="45">
        <f>IF(Antragsdaten!E52=I4,IF(D95=1,1,0),0)</f>
        <v>0</v>
      </c>
      <c r="E96" s="46"/>
      <c r="F96" s="30"/>
      <c r="G96" s="31" t="str">
        <f>IF(D96=0,""," aus nachwachsenden Rohstoffen")</f>
        <v/>
      </c>
      <c r="I96" s="29"/>
      <c r="J96" s="30"/>
      <c r="K96" s="30"/>
      <c r="L96" s="31"/>
    </row>
    <row r="97" spans="2:12" x14ac:dyDescent="0.25">
      <c r="B97" s="55"/>
      <c r="C97" s="48" t="str">
        <f>$C$94&amp;"."&amp;F97</f>
        <v>0.2</v>
      </c>
      <c r="D97" s="45">
        <f>IF(Antragsdaten!H58="OK",1,0)</f>
        <v>0</v>
      </c>
      <c r="E97" s="46"/>
      <c r="F97" s="30">
        <v>2</v>
      </c>
      <c r="G97" s="31" t="str">
        <f>IF(Antragsdaten!H58="OK",ROUNDDOWN(Antragsdaten!E58,0)&amp;" m²"&amp;G98,"-")</f>
        <v>-</v>
      </c>
      <c r="I97" s="29"/>
      <c r="J97" s="30"/>
      <c r="K97" s="30"/>
      <c r="L97" s="31"/>
    </row>
    <row r="98" spans="2:12" x14ac:dyDescent="0.25">
      <c r="B98" s="55"/>
      <c r="C98" s="48"/>
      <c r="D98" s="45">
        <f>IF(Antragsdaten!E59=I4,IF(D97=1,1,0),0)</f>
        <v>0</v>
      </c>
      <c r="E98" s="46"/>
      <c r="F98" s="30"/>
      <c r="G98" s="31" t="str">
        <f>IF(D98=0,""," aus nachwachsenden Rohstoffen")</f>
        <v/>
      </c>
      <c r="I98" s="29"/>
      <c r="J98" s="30"/>
      <c r="K98" s="30"/>
      <c r="L98" s="31"/>
    </row>
    <row r="99" spans="2:12" x14ac:dyDescent="0.25">
      <c r="B99" s="55"/>
      <c r="C99" s="48" t="str">
        <f>$C$94&amp;"."&amp;F99</f>
        <v>0.3</v>
      </c>
      <c r="D99" s="45">
        <f>IF(Antragsdaten!H65="OK",1,0)</f>
        <v>0</v>
      </c>
      <c r="E99" s="46"/>
      <c r="F99" s="30">
        <v>3</v>
      </c>
      <c r="G99" s="31" t="str">
        <f>IF(Antragsdaten!H65="OK",ROUNDDOWN(Antragsdaten!E65,0)&amp;" m²"&amp;G100,"-")</f>
        <v>-</v>
      </c>
      <c r="I99" s="29"/>
      <c r="J99" s="30"/>
      <c r="K99" s="30"/>
      <c r="L99" s="31"/>
    </row>
    <row r="100" spans="2:12" x14ac:dyDescent="0.25">
      <c r="B100" s="55"/>
      <c r="C100" s="48"/>
      <c r="D100" s="45">
        <f>IF(Antragsdaten!E66=I4,IF(D99=1,1,0),0)</f>
        <v>0</v>
      </c>
      <c r="E100" s="46"/>
      <c r="F100" s="30"/>
      <c r="G100" s="31" t="str">
        <f>IF(D100=0,""," aus nachwachsenden Rohstoffen")</f>
        <v/>
      </c>
      <c r="I100" s="29"/>
      <c r="J100" s="30"/>
      <c r="K100" s="30"/>
      <c r="L100" s="31"/>
    </row>
    <row r="101" spans="2:12" x14ac:dyDescent="0.25">
      <c r="B101" s="55"/>
      <c r="C101" s="48" t="str">
        <f>$C$94&amp;"."&amp;F101</f>
        <v>0.4</v>
      </c>
      <c r="D101" s="45">
        <f>IF(Antragsdaten!H74="OK",1,0)</f>
        <v>0</v>
      </c>
      <c r="E101" s="46"/>
      <c r="F101" s="30">
        <v>4</v>
      </c>
      <c r="G101" s="31" t="str">
        <f>IF(Antragsdaten!H74="OK",ROUNDDOWN(Antragsdaten!E74,0)&amp;" m² "&amp;Antragsdaten!E73&amp;G102,"-")</f>
        <v>-</v>
      </c>
      <c r="I101" s="29"/>
      <c r="J101" s="30"/>
      <c r="K101" s="30"/>
      <c r="L101" s="31"/>
    </row>
    <row r="102" spans="2:12" x14ac:dyDescent="0.25">
      <c r="B102" s="56"/>
      <c r="C102" s="50"/>
      <c r="D102" s="51">
        <f>IF(D101=1,1,0)</f>
        <v>0</v>
      </c>
      <c r="E102" s="52"/>
      <c r="F102" s="33"/>
      <c r="G102" s="34" t="str">
        <f>IF(D102=0,""," (Davon: "&amp;Antragsdaten!E75&amp;" m² Schallschutzverglasung)")</f>
        <v/>
      </c>
      <c r="I102" s="29"/>
      <c r="J102" s="30"/>
      <c r="K102" s="30"/>
      <c r="L102" s="31"/>
    </row>
    <row r="103" spans="2:12" x14ac:dyDescent="0.25">
      <c r="B103" s="25" t="str">
        <f>B68</f>
        <v>Lüftungsanlage</v>
      </c>
      <c r="C103" s="43">
        <f>IF($A$46=$I$10,1,0)</f>
        <v>0</v>
      </c>
      <c r="D103" s="43"/>
      <c r="E103" s="70" t="s">
        <v>97</v>
      </c>
      <c r="F103" s="43"/>
      <c r="G103" s="44" t="str">
        <f>B46</f>
        <v>Lüftungsanlage</v>
      </c>
      <c r="H103" s="11"/>
      <c r="I103" s="112">
        <f>C103</f>
        <v>0</v>
      </c>
      <c r="J103" s="30" t="str">
        <f>IF(Antragsdaten!$E$10="Ja","Das gültige Materialangebot","Das gültige Angebot des Fachbetriebs")</f>
        <v>Das gültige Angebot des Fachbetriebs</v>
      </c>
      <c r="K103" s="30" t="str">
        <f>IF(Antragsdaten!E108="Ja","Eine aktuelle De-Minimis-Erklärung ","")&amp;IF(AND(Antragsdaten!E107=J8,Antragsdaten!E108="Ja")=TRUE(),"und ","")&amp;IF(Antragsdaten!E107=J8,"Den Beschluss der WEG über die Antragstellung","")</f>
        <v/>
      </c>
      <c r="L103" s="31"/>
    </row>
    <row r="104" spans="2:12" x14ac:dyDescent="0.25">
      <c r="B104" s="55"/>
      <c r="C104" s="48" t="str">
        <f>$C$103&amp;"."&amp;F104</f>
        <v>0.1</v>
      </c>
      <c r="D104" s="45"/>
      <c r="E104" s="46"/>
      <c r="F104" s="30">
        <v>1</v>
      </c>
      <c r="G104" s="31" t="str">
        <f>IF(Antragsdaten!H34="OK",Antragsdaten!E34,"-")</f>
        <v>-</v>
      </c>
      <c r="I104" s="29"/>
      <c r="J104" s="30"/>
      <c r="K104" s="30"/>
      <c r="L104" s="31"/>
    </row>
    <row r="105" spans="2:12" x14ac:dyDescent="0.25">
      <c r="B105" s="56"/>
      <c r="C105" s="50" t="str">
        <f>$C$103&amp;"."&amp;F105</f>
        <v>0.2</v>
      </c>
      <c r="D105" s="51"/>
      <c r="E105" s="52"/>
      <c r="F105" s="33">
        <v>2</v>
      </c>
      <c r="G105" s="57">
        <f>ROUNDDOWN(Antragsdaten!E36,0)</f>
        <v>0</v>
      </c>
      <c r="I105" s="29"/>
      <c r="J105" s="30"/>
      <c r="K105" s="30"/>
      <c r="L105" s="31"/>
    </row>
    <row r="106" spans="2:12" x14ac:dyDescent="0.25">
      <c r="B106" s="25" t="str">
        <f>B69</f>
        <v>Balkonkraftwerk</v>
      </c>
      <c r="C106" s="43">
        <f>IF($A$49=$I$10,1,0)</f>
        <v>0</v>
      </c>
      <c r="D106" s="43"/>
      <c r="E106" s="70" t="s">
        <v>98</v>
      </c>
      <c r="F106" s="43"/>
      <c r="G106" s="44" t="str">
        <f>B49</f>
        <v>Balkonkraftwerk</v>
      </c>
      <c r="H106" s="11"/>
      <c r="I106" s="112">
        <f>C106</f>
        <v>0</v>
      </c>
      <c r="J106" s="30" t="str">
        <f>IF(Antragsdaten!$E$10="Ja","Das gültige Materialangebot","Das gültige Angebot des Fachbetriebs")</f>
        <v>Das gültige Angebot des Fachbetriebs</v>
      </c>
      <c r="K106" s="30" t="str">
        <f>IF(Antragsdaten!E108="Ja","Eine aktuelle De-Minimis-Erklärung ","")&amp;IF(AND(Antragsdaten!E107=J8,Antragsdaten!E108="Ja")=TRUE(),"und ","")&amp;IF(Antragsdaten!E107=J8,"Den Beschluss der WEG über die Antragstellung","")</f>
        <v/>
      </c>
      <c r="L106" s="31"/>
    </row>
    <row r="107" spans="2:12" x14ac:dyDescent="0.25">
      <c r="B107" s="55"/>
      <c r="C107" s="48" t="str">
        <f>$C$106&amp;"."&amp;F107</f>
        <v>0.1</v>
      </c>
      <c r="D107" s="45"/>
      <c r="E107" s="46"/>
      <c r="F107" s="30">
        <v>1</v>
      </c>
      <c r="G107" s="31" t="str">
        <f>ROUNDDOWN(Antragsdaten!E94,0)&amp;" Watt"</f>
        <v>0 Watt</v>
      </c>
      <c r="I107" s="29"/>
      <c r="J107" s="30"/>
      <c r="K107" s="30"/>
      <c r="L107" s="31"/>
    </row>
    <row r="108" spans="2:12" x14ac:dyDescent="0.25">
      <c r="B108" s="56"/>
      <c r="C108" s="50" t="str">
        <f>$C$106&amp;"."&amp;F108</f>
        <v>0.2</v>
      </c>
      <c r="D108" s="51"/>
      <c r="E108" s="52"/>
      <c r="F108" s="33">
        <v>2</v>
      </c>
      <c r="G108" s="57" t="str">
        <f>ROUNDDOWN(Antragsdaten!E93,0)&amp;" Watt"</f>
        <v>0 Watt</v>
      </c>
      <c r="I108" s="29"/>
      <c r="J108" s="30"/>
      <c r="K108" s="30"/>
      <c r="L108" s="31"/>
    </row>
    <row r="109" spans="2:12" x14ac:dyDescent="0.25">
      <c r="B109" s="55" t="str">
        <f>B70</f>
        <v>Dachbegrünung</v>
      </c>
      <c r="C109" s="47">
        <f>IF($A$51=$I$10,1,0)</f>
        <v>0</v>
      </c>
      <c r="D109" s="47"/>
      <c r="E109" s="182" t="s">
        <v>252</v>
      </c>
      <c r="F109" s="47"/>
      <c r="G109" s="107" t="str">
        <f>B51</f>
        <v>Dachbegrünung</v>
      </c>
      <c r="H109" s="11"/>
      <c r="I109" s="122">
        <f>C109</f>
        <v>0</v>
      </c>
      <c r="J109" s="33" t="str">
        <f>IF(Antragsdaten!$E$10="Ja","Das gültige Materialangebot","Das gültige Angebot des Fachbetriebs")</f>
        <v>Das gültige Angebot des Fachbetriebs</v>
      </c>
      <c r="K109" s="33" t="str">
        <f>IF(Antragsdaten!E108="Ja","Eine aktuelle De-Minimis-Erklärung ","")&amp;IF(AND(Antragsdaten!E107=J8,Antragsdaten!E108="Ja")=TRUE(),"und ","")&amp;IF(Antragsdaten!E107=J8,"Den Beschluss der WEG über die Antragstellung","")</f>
        <v/>
      </c>
      <c r="L109" s="34"/>
    </row>
    <row r="110" spans="2:12" x14ac:dyDescent="0.25">
      <c r="B110" s="56"/>
      <c r="C110" s="50" t="str">
        <f>$C$109&amp;"."&amp;F110</f>
        <v>0.1</v>
      </c>
      <c r="D110" s="51"/>
      <c r="E110" s="52"/>
      <c r="F110" s="33">
        <v>1</v>
      </c>
      <c r="G110" s="53" t="str">
        <f>IF(Antragsdaten!H100="OK",ROUNDDOWN(Antragsdaten!E100,0)&amp;" m²","-")</f>
        <v>-</v>
      </c>
    </row>
    <row r="111" spans="2:12" x14ac:dyDescent="0.25">
      <c r="E111" s="26"/>
    </row>
    <row r="112" spans="2:12" x14ac:dyDescent="0.25">
      <c r="C112" t="s">
        <v>90</v>
      </c>
    </row>
    <row r="115" spans="1:4" x14ac:dyDescent="0.25">
      <c r="B115" s="27" t="s">
        <v>118</v>
      </c>
      <c r="C115" s="140" t="str">
        <f>IF(ISNA(VLOOKUP("Aktiv",Hintergrunddaten!A17:B52,2,)),"-",(VLOOKUP("Aktiv",Hintergrunddaten!A17:B52,2,)))</f>
        <v>-</v>
      </c>
      <c r="D115" s="28"/>
    </row>
    <row r="116" spans="1:4" x14ac:dyDescent="0.25">
      <c r="B116" s="35" t="s">
        <v>107</v>
      </c>
      <c r="C116" s="36">
        <f>SUM(Antragsdaten!E18,Antragsdaten!E30,Antragsdaten!E87,Antragsdaten!E78,Antragsdaten!E37,Antragsdaten!E95,Antragsdaten!E101,Antragsdaten!E44)</f>
        <v>0</v>
      </c>
      <c r="D116" s="155" t="s">
        <v>80</v>
      </c>
    </row>
    <row r="117" spans="1:4" x14ac:dyDescent="0.25">
      <c r="B117" s="35" t="s">
        <v>202</v>
      </c>
      <c r="C117" s="36">
        <f>IF(AND(Antragsdaten!H10="OK",Antragsdaten!H9="OK",Antragsdaten!H11="OK",C124="OK",C125="OK")=TRUE(),1,0)</f>
        <v>0</v>
      </c>
      <c r="D117" s="155" t="s">
        <v>203</v>
      </c>
    </row>
    <row r="118" spans="1:4" x14ac:dyDescent="0.25">
      <c r="B118" s="35" t="s">
        <v>204</v>
      </c>
      <c r="C118" s="36">
        <f>SUM(Antragsdaten!E18,Antragsdaten!E30,Antragsdaten!E78,Antragsdaten!E37,Antragsdaten!E44,Antragsdaten!E87,Antragsdaten!E95,Antragsdaten!E101)</f>
        <v>0</v>
      </c>
      <c r="D118" s="155" t="s">
        <v>80</v>
      </c>
    </row>
    <row r="119" spans="1:4" x14ac:dyDescent="0.25">
      <c r="B119" s="35" t="s">
        <v>207</v>
      </c>
      <c r="C119" s="36">
        <f>Antragsdaten!E12</f>
        <v>0</v>
      </c>
      <c r="D119" s="155" t="s">
        <v>80</v>
      </c>
    </row>
    <row r="120" spans="1:4" x14ac:dyDescent="0.25">
      <c r="B120" s="141" t="s">
        <v>208</v>
      </c>
      <c r="C120" s="142">
        <f>IF(C119&lt;C118,0,IF(C119&lt;C116,C119*C117,C116*C117))</f>
        <v>0</v>
      </c>
      <c r="D120" s="143" t="s">
        <v>80</v>
      </c>
    </row>
    <row r="122" spans="1:4" ht="23.25" x14ac:dyDescent="0.35">
      <c r="A122" s="58" t="s">
        <v>115</v>
      </c>
    </row>
    <row r="124" spans="1:4" x14ac:dyDescent="0.25">
      <c r="B124" t="s">
        <v>131</v>
      </c>
      <c r="C124" t="str">
        <f>IF(AND(Antragsdaten!H107="OK",Antragsdaten!H108="OK",Antragsdaten!H110="OK",Antragsdaten!H111="OK",Antragsdaten!H112="OK",Antragsdaten!H113="OK",Antragsdaten!H114="OK",Antragsdaten!H115="OK",Antragsdaten!H116="OK",Antragsdaten!H117="OK",Antragsdaten!H118="OK",Antragsdaten!H119="OK",Antragsdaten!H122="OK",Antragsdaten!H124="OK",Antragsdaten!H125="OK",Antragsdaten!H128="OK",Antragsdaten!H129="OK",Antragsdaten!H131="OK",Antragsdaten!H132="OK")=TRUE(),"OK","Fehlende Daten")</f>
        <v>Fehlende Daten</v>
      </c>
    </row>
    <row r="125" spans="1:4" x14ac:dyDescent="0.25">
      <c r="B125" t="s">
        <v>132</v>
      </c>
      <c r="C125" t="str">
        <f>IF(Antragsdaten!H130="OK"=TRUE(),"OK","Gebäude nicht in Dingolfing")</f>
        <v>Gebäude nicht in Dingolfing</v>
      </c>
    </row>
    <row r="126" spans="1:4" x14ac:dyDescent="0.25">
      <c r="B126" t="s">
        <v>182</v>
      </c>
      <c r="C126" t="str">
        <f>Antragsdaten!H108</f>
        <v>Bitte ausfüllen</v>
      </c>
      <c r="D126" t="s">
        <v>183</v>
      </c>
    </row>
    <row r="127" spans="1:4" ht="23.25" x14ac:dyDescent="0.35">
      <c r="A127" s="58" t="s">
        <v>142</v>
      </c>
    </row>
    <row r="128" spans="1:4" x14ac:dyDescent="0.25">
      <c r="B128" t="s">
        <v>131</v>
      </c>
      <c r="C128" t="str">
        <f>IF(OR(AND(Antragsdaten!H138="OK",Antragsdaten!H144="OK",Antragsdaten!H139="OK",Antragsdaten!H140="OK",Antragsdaten!H141="OK",Antragsdaten!H142="OK",Antragsdaten!H145="OK",Antragsdaten!H146="OK",Antragsdaten!H147="OK",Antragsdaten!H148="OK"),Antragsdaten!B136="Vereinfachtes Verfahren - Keine Angaben notwendig")=TRUE(),"OK","Fehlende Daten")</f>
        <v>OK</v>
      </c>
    </row>
  </sheetData>
  <conditionalFormatting sqref="A31">
    <cfRule type="containsText" dxfId="7" priority="9" operator="containsText" text="Aktiv">
      <formula>NOT(ISERROR(SEARCH("Aktiv",A31)))</formula>
    </cfRule>
  </conditionalFormatting>
  <conditionalFormatting sqref="A27">
    <cfRule type="containsText" dxfId="6" priority="8" operator="containsText" text="Aktiv">
      <formula>NOT(ISERROR(SEARCH("Aktiv",A27)))</formula>
    </cfRule>
  </conditionalFormatting>
  <conditionalFormatting sqref="A18">
    <cfRule type="containsText" dxfId="5" priority="7" operator="containsText" text="Aktiv">
      <formula>NOT(ISERROR(SEARCH("Aktiv",A18)))</formula>
    </cfRule>
  </conditionalFormatting>
  <conditionalFormatting sqref="A36">
    <cfRule type="containsText" dxfId="4" priority="6" operator="containsText" text="Aktiv">
      <formula>NOT(ISERROR(SEARCH("Aktiv",A36)))</formula>
    </cfRule>
  </conditionalFormatting>
  <conditionalFormatting sqref="A46">
    <cfRule type="containsText" dxfId="3" priority="5" operator="containsText" text="Aktiv">
      <formula>NOT(ISERROR(SEARCH("Aktiv",A46)))</formula>
    </cfRule>
  </conditionalFormatting>
  <conditionalFormatting sqref="A49">
    <cfRule type="containsText" dxfId="2" priority="4" operator="containsText" text="Aktiv">
      <formula>NOT(ISERROR(SEARCH("Aktiv",A49)))</formula>
    </cfRule>
  </conditionalFormatting>
  <conditionalFormatting sqref="A51">
    <cfRule type="containsText" dxfId="1" priority="3" operator="containsText" text="Aktiv">
      <formula>NOT(ISERROR(SEARCH("Aktiv",A51)))</formula>
    </cfRule>
  </conditionalFormatting>
  <conditionalFormatting sqref="A33:A34">
    <cfRule type="containsText" dxfId="0" priority="1" operator="containsText" text="Aktiv">
      <formula>NOT(ISERROR(SEARCH("Aktiv",A33)))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E38"/>
  <sheetViews>
    <sheetView workbookViewId="0">
      <selection activeCell="A2" sqref="A2:E38"/>
    </sheetView>
  </sheetViews>
  <sheetFormatPr baseColWidth="10" defaultRowHeight="15" x14ac:dyDescent="0.25"/>
  <cols>
    <col min="1" max="1" width="39.85546875" customWidth="1"/>
    <col min="2" max="2" width="11.42578125" customWidth="1"/>
    <col min="3" max="3" width="24.28515625" bestFit="1" customWidth="1"/>
    <col min="4" max="5" width="13.42578125" bestFit="1" customWidth="1"/>
  </cols>
  <sheetData>
    <row r="2" spans="1:5" ht="36.75" customHeight="1" x14ac:dyDescent="0.25">
      <c r="A2" s="90" t="s">
        <v>159</v>
      </c>
      <c r="B2" s="220" t="s">
        <v>160</v>
      </c>
      <c r="C2" s="221"/>
      <c r="D2" s="91" t="s">
        <v>157</v>
      </c>
      <c r="E2" s="91" t="s">
        <v>158</v>
      </c>
    </row>
    <row r="3" spans="1:5" x14ac:dyDescent="0.25">
      <c r="A3" s="77" t="str">
        <f>Hintergrunddaten!B18</f>
        <v>Austauschprämie Zentralheizung</v>
      </c>
      <c r="B3" s="78"/>
      <c r="C3" s="79"/>
      <c r="D3" s="80"/>
      <c r="E3" s="80"/>
    </row>
    <row r="4" spans="1:5" x14ac:dyDescent="0.25">
      <c r="A4" s="81" t="str">
        <f>Hintergrunddaten!B19</f>
        <v>Öl Brennwert + Erneuerbare Energie</v>
      </c>
      <c r="B4" s="82">
        <f>Hintergrunddaten!C19</f>
        <v>500</v>
      </c>
      <c r="C4" s="79" t="s">
        <v>156</v>
      </c>
      <c r="D4" s="80"/>
      <c r="E4" s="80"/>
    </row>
    <row r="5" spans="1:5" x14ac:dyDescent="0.25">
      <c r="A5" s="81" t="str">
        <f>Hintergrunddaten!B20</f>
        <v>Gas Brennwert + Erneuerbare Energie</v>
      </c>
      <c r="B5" s="82">
        <f>Hintergrunddaten!C20</f>
        <v>800</v>
      </c>
      <c r="C5" s="79" t="s">
        <v>156</v>
      </c>
      <c r="D5" s="80"/>
      <c r="E5" s="80"/>
    </row>
    <row r="6" spans="1:5" x14ac:dyDescent="0.25">
      <c r="A6" s="78" t="str">
        <f>Hintergrunddaten!B21</f>
        <v>BHKW</v>
      </c>
      <c r="B6" s="82">
        <f>Hintergrunddaten!C21</f>
        <v>2000</v>
      </c>
      <c r="C6" s="79" t="s">
        <v>156</v>
      </c>
      <c r="D6" s="80"/>
      <c r="E6" s="80"/>
    </row>
    <row r="7" spans="1:5" x14ac:dyDescent="0.25">
      <c r="A7" s="78" t="str">
        <f>Hintergrunddaten!B22</f>
        <v>Wärmepumpe</v>
      </c>
      <c r="B7" s="82">
        <f>Hintergrunddaten!C22</f>
        <v>2000</v>
      </c>
      <c r="C7" s="79" t="s">
        <v>156</v>
      </c>
      <c r="D7" s="80"/>
      <c r="E7" s="80"/>
    </row>
    <row r="8" spans="1:5" x14ac:dyDescent="0.25">
      <c r="A8" s="78" t="str">
        <f>Hintergrunddaten!B23</f>
        <v>Biomasse</v>
      </c>
      <c r="B8" s="82">
        <f>Hintergrunddaten!C23</f>
        <v>3000</v>
      </c>
      <c r="C8" s="79" t="s">
        <v>156</v>
      </c>
      <c r="D8" s="80"/>
      <c r="E8" s="80"/>
    </row>
    <row r="9" spans="1:5" x14ac:dyDescent="0.25">
      <c r="A9" s="78" t="str">
        <f>Hintergrunddaten!B24</f>
        <v>Brennstoffzellenheizung</v>
      </c>
      <c r="B9" s="82">
        <f>Hintergrunddaten!C24</f>
        <v>2000</v>
      </c>
      <c r="C9" s="79" t="s">
        <v>156</v>
      </c>
      <c r="D9" s="80"/>
      <c r="E9" s="80"/>
    </row>
    <row r="10" spans="1:5" x14ac:dyDescent="0.25">
      <c r="A10" s="78" t="str">
        <f>Hintergrunddaten!B25</f>
        <v>Anschluss Nah- / Fernwärmenetz</v>
      </c>
      <c r="B10" s="82">
        <f>Hintergrunddaten!C25</f>
        <v>1000</v>
      </c>
      <c r="C10" s="79" t="s">
        <v>156</v>
      </c>
      <c r="D10" s="80"/>
      <c r="E10" s="80"/>
    </row>
    <row r="11" spans="1:5" x14ac:dyDescent="0.25">
      <c r="A11" s="78" t="str">
        <f>Hintergrunddaten!B26</f>
        <v>Neue Wärmepumpe</v>
      </c>
      <c r="B11" s="82">
        <f>Hintergrunddaten!C26</f>
        <v>500</v>
      </c>
      <c r="C11" s="79" t="s">
        <v>156</v>
      </c>
      <c r="D11" s="80"/>
      <c r="E11" s="80"/>
    </row>
    <row r="12" spans="1:5" ht="34.5" customHeight="1" x14ac:dyDescent="0.25">
      <c r="A12" s="77" t="str">
        <f>Hintergrunddaten!B27</f>
        <v>Erneuerbare Energien</v>
      </c>
      <c r="B12" s="78"/>
      <c r="C12" s="79"/>
      <c r="D12" s="87"/>
      <c r="E12" s="87"/>
    </row>
    <row r="13" spans="1:5" x14ac:dyDescent="0.25">
      <c r="A13" s="78" t="str">
        <f>Hintergrunddaten!B28</f>
        <v>Thermische Solaranlage</v>
      </c>
      <c r="B13" s="82">
        <f>Hintergrunddaten!C28</f>
        <v>100</v>
      </c>
      <c r="C13" s="79" t="s">
        <v>155</v>
      </c>
      <c r="D13" s="88">
        <f>Hintergrunddaten!F28</f>
        <v>500</v>
      </c>
      <c r="E13" s="88">
        <f>Hintergrunddaten!H28</f>
        <v>3000</v>
      </c>
    </row>
    <row r="14" spans="1:5" x14ac:dyDescent="0.25">
      <c r="A14" s="78" t="str">
        <f>Hintergrunddaten!B29</f>
        <v>Elektrischer Heizstab (PV-Anbindung)</v>
      </c>
      <c r="B14" s="82">
        <f>Hintergrunddaten!C29</f>
        <v>150</v>
      </c>
      <c r="C14" s="79" t="s">
        <v>156</v>
      </c>
      <c r="D14" s="88"/>
      <c r="E14" s="88"/>
    </row>
    <row r="15" spans="1:5" x14ac:dyDescent="0.25">
      <c r="A15" s="78" t="str">
        <f>Hintergrunddaten!B30</f>
        <v>Brauchwasserwärmepumpe</v>
      </c>
      <c r="B15" s="82">
        <f>Hintergrunddaten!C30</f>
        <v>300</v>
      </c>
      <c r="C15" s="79" t="s">
        <v>156</v>
      </c>
      <c r="D15" s="88"/>
      <c r="E15" s="88"/>
    </row>
    <row r="16" spans="1:5" ht="34.5" customHeight="1" x14ac:dyDescent="0.25">
      <c r="A16" s="77" t="str">
        <f>Hintergrunddaten!B31</f>
        <v>Stromspeicher</v>
      </c>
      <c r="B16" s="78"/>
      <c r="C16" s="79"/>
      <c r="D16" s="87"/>
      <c r="E16" s="87"/>
    </row>
    <row r="17" spans="1:5" x14ac:dyDescent="0.25">
      <c r="A17" s="78" t="str">
        <f>Hintergrunddaten!B32</f>
        <v>Stromspeicher für PV-Strom</v>
      </c>
      <c r="B17" s="82">
        <f>Hintergrunddaten!C32</f>
        <v>100</v>
      </c>
      <c r="C17" s="79" t="s">
        <v>269</v>
      </c>
      <c r="D17" s="88">
        <f>Hintergrunddaten!F32</f>
        <v>500</v>
      </c>
      <c r="E17" s="88">
        <f>Hintergrunddaten!H32</f>
        <v>3000</v>
      </c>
    </row>
    <row r="18" spans="1:5" ht="34.5" customHeight="1" x14ac:dyDescent="0.25">
      <c r="A18" s="77" t="str">
        <f>Hintergrunddaten!B33</f>
        <v>Regenwasserzisterne</v>
      </c>
      <c r="B18" s="82"/>
      <c r="C18" s="79"/>
      <c r="D18" s="88"/>
      <c r="E18" s="88"/>
    </row>
    <row r="19" spans="1:5" x14ac:dyDescent="0.25">
      <c r="A19" s="78" t="str">
        <f>Hintergrunddaten!B34</f>
        <v>Unterirdische Regenwasserzisterne</v>
      </c>
      <c r="B19" s="82">
        <f>Hintergrunddaten!C34</f>
        <v>1000</v>
      </c>
      <c r="C19" s="79" t="s">
        <v>156</v>
      </c>
      <c r="D19" s="88">
        <f>Hintergrunddaten!F34</f>
        <v>1000</v>
      </c>
      <c r="E19" s="88">
        <f>Hintergrunddaten!H34</f>
        <v>1000</v>
      </c>
    </row>
    <row r="20" spans="1:5" x14ac:dyDescent="0.25">
      <c r="A20" s="86" t="str">
        <f>Hintergrunddaten!B35</f>
        <v>Unterirdische Regenwasserzisterne inkl. Grauwasserinstallation</v>
      </c>
      <c r="B20" s="82">
        <f>Hintergrunddaten!C35</f>
        <v>1500</v>
      </c>
      <c r="C20" s="79" t="s">
        <v>156</v>
      </c>
      <c r="D20" s="88">
        <f>Hintergrunddaten!F35</f>
        <v>1500</v>
      </c>
      <c r="E20" s="88">
        <f>Hintergrunddaten!H35</f>
        <v>1500</v>
      </c>
    </row>
    <row r="21" spans="1:5" ht="34.5" customHeight="1" x14ac:dyDescent="0.25">
      <c r="A21" s="77" t="str">
        <f>Hintergrunddaten!B36</f>
        <v>Thermische Gebäudehülle</v>
      </c>
      <c r="B21" s="82"/>
      <c r="C21" s="79"/>
      <c r="D21" s="88"/>
      <c r="E21" s="88"/>
    </row>
    <row r="22" spans="1:5" x14ac:dyDescent="0.25">
      <c r="A22" s="86" t="str">
        <f>Hintergrunddaten!B37</f>
        <v>Außenwanddämmung</v>
      </c>
      <c r="B22" s="82">
        <f>Hintergrunddaten!C37</f>
        <v>16</v>
      </c>
      <c r="C22" s="79" t="s">
        <v>184</v>
      </c>
      <c r="D22" s="88">
        <f>Hintergrunddaten!F37</f>
        <v>320</v>
      </c>
      <c r="E22" s="88">
        <f>Hintergrunddaten!H37</f>
        <v>6400</v>
      </c>
    </row>
    <row r="23" spans="1:5" x14ac:dyDescent="0.25">
      <c r="A23" s="78" t="str">
        <f>Hintergrunddaten!B38</f>
        <v>Zusätzlich: Ökobonus</v>
      </c>
      <c r="B23" s="82">
        <f>Hintergrunddaten!C38</f>
        <v>8</v>
      </c>
      <c r="C23" s="79" t="s">
        <v>184</v>
      </c>
      <c r="D23" s="88">
        <f>Hintergrunddaten!F38</f>
        <v>160</v>
      </c>
      <c r="E23" s="88">
        <f>Hintergrunddaten!H38</f>
        <v>3200</v>
      </c>
    </row>
    <row r="24" spans="1:5" x14ac:dyDescent="0.25">
      <c r="A24" s="86" t="str">
        <f>Hintergrunddaten!B39</f>
        <v>Dämmung Oberste Geschossdecke/Dach</v>
      </c>
      <c r="B24" s="82">
        <f>Hintergrunddaten!C39</f>
        <v>10</v>
      </c>
      <c r="C24" s="79" t="s">
        <v>184</v>
      </c>
      <c r="D24" s="88">
        <f>Hintergrunddaten!F39</f>
        <v>200</v>
      </c>
      <c r="E24" s="88">
        <f>Hintergrunddaten!H39</f>
        <v>2000</v>
      </c>
    </row>
    <row r="25" spans="1:5" x14ac:dyDescent="0.25">
      <c r="A25" s="86" t="str">
        <f>Hintergrunddaten!B40</f>
        <v>Zusätzlich: Ökobonus</v>
      </c>
      <c r="B25" s="82">
        <f>Hintergrunddaten!C40</f>
        <v>8</v>
      </c>
      <c r="C25" s="79" t="s">
        <v>184</v>
      </c>
      <c r="D25" s="88">
        <f>Hintergrunddaten!F40</f>
        <v>160</v>
      </c>
      <c r="E25" s="88">
        <f>Hintergrunddaten!H40</f>
        <v>1600</v>
      </c>
    </row>
    <row r="26" spans="1:5" x14ac:dyDescent="0.25">
      <c r="A26" s="86" t="str">
        <f>Hintergrunddaten!B41</f>
        <v>Dämmung Kellerdecke/Bodenplatte</v>
      </c>
      <c r="B26" s="82">
        <f>Hintergrunddaten!C41</f>
        <v>8</v>
      </c>
      <c r="C26" s="79" t="s">
        <v>184</v>
      </c>
      <c r="D26" s="88">
        <f>Hintergrunddaten!F41</f>
        <v>160</v>
      </c>
      <c r="E26" s="88">
        <f>Hintergrunddaten!H41</f>
        <v>1600</v>
      </c>
    </row>
    <row r="27" spans="1:5" x14ac:dyDescent="0.25">
      <c r="A27" s="86" t="str">
        <f>Hintergrunddaten!B42</f>
        <v>Zusätzlich: Ökobonus</v>
      </c>
      <c r="B27" s="82">
        <f>Hintergrunddaten!C42</f>
        <v>8</v>
      </c>
      <c r="C27" s="79" t="s">
        <v>184</v>
      </c>
      <c r="D27" s="88">
        <f>Hintergrunddaten!F42</f>
        <v>160</v>
      </c>
      <c r="E27" s="88">
        <f>Hintergrunddaten!H42</f>
        <v>1600</v>
      </c>
    </row>
    <row r="28" spans="1:5" x14ac:dyDescent="0.25">
      <c r="A28" s="86" t="str">
        <f>Hintergrunddaten!B43</f>
        <v>Kunststoff- oder Aluminiumfenster</v>
      </c>
      <c r="B28" s="82">
        <f>Hintergrunddaten!C43</f>
        <v>70</v>
      </c>
      <c r="C28" s="79" t="s">
        <v>251</v>
      </c>
      <c r="D28" s="88">
        <f>Hintergrunddaten!F43</f>
        <v>350</v>
      </c>
      <c r="E28" s="88">
        <f>Hintergrunddaten!H43</f>
        <v>2100</v>
      </c>
    </row>
    <row r="29" spans="1:5" x14ac:dyDescent="0.25">
      <c r="A29" s="78" t="str">
        <f>Hintergrunddaten!B44</f>
        <v>Holz- oder Holz-Alu-Fenster</v>
      </c>
      <c r="B29" s="82">
        <f>Hintergrunddaten!C44</f>
        <v>100</v>
      </c>
      <c r="C29" s="79" t="s">
        <v>251</v>
      </c>
      <c r="D29" s="88">
        <f>Hintergrunddaten!F44</f>
        <v>500</v>
      </c>
      <c r="E29" s="88">
        <f>Hintergrunddaten!H44</f>
        <v>3000</v>
      </c>
    </row>
    <row r="30" spans="1:5" x14ac:dyDescent="0.25">
      <c r="A30" s="78" t="str">
        <f>Hintergrunddaten!B45</f>
        <v>Davon Schallschutzfenster (Ab Klasse 4)</v>
      </c>
      <c r="B30" s="82">
        <f>Hintergrunddaten!C45</f>
        <v>40</v>
      </c>
      <c r="C30" s="79" t="s">
        <v>251</v>
      </c>
      <c r="D30" s="88">
        <f>Hintergrunddaten!F45</f>
        <v>0</v>
      </c>
      <c r="E30" s="88">
        <f>Hintergrunddaten!H45</f>
        <v>1200</v>
      </c>
    </row>
    <row r="31" spans="1:5" ht="34.5" customHeight="1" x14ac:dyDescent="0.25">
      <c r="A31" s="77" t="str">
        <f>Hintergrunddaten!B46</f>
        <v>Lüftungsanlage</v>
      </c>
      <c r="B31" s="82"/>
      <c r="C31" s="79"/>
      <c r="D31" s="88"/>
      <c r="E31" s="88"/>
    </row>
    <row r="32" spans="1:5" x14ac:dyDescent="0.25">
      <c r="A32" s="81" t="str">
        <f>Hintergrunddaten!B47</f>
        <v>Zentrale Lüftungsanlage</v>
      </c>
      <c r="B32" s="82">
        <f>Hintergrunddaten!C47</f>
        <v>1000</v>
      </c>
      <c r="C32" s="79" t="s">
        <v>156</v>
      </c>
      <c r="D32" s="88">
        <f>Hintergrunddaten!F47</f>
        <v>1000</v>
      </c>
      <c r="E32" s="88">
        <f>Hintergrunddaten!H47</f>
        <v>1000</v>
      </c>
    </row>
    <row r="33" spans="1:5" x14ac:dyDescent="0.25">
      <c r="A33" s="81" t="str">
        <f>Hintergrunddaten!B48</f>
        <v>Dezentrale Lüftungsanlage</v>
      </c>
      <c r="B33" s="82">
        <f>Hintergrunddaten!C48</f>
        <v>100</v>
      </c>
      <c r="C33" s="79" t="s">
        <v>264</v>
      </c>
      <c r="D33" s="88">
        <f>Hintergrunddaten!F48</f>
        <v>200</v>
      </c>
      <c r="E33" s="88">
        <f>Hintergrunddaten!H48</f>
        <v>1600</v>
      </c>
    </row>
    <row r="34" spans="1:5" ht="34.5" customHeight="1" x14ac:dyDescent="0.25">
      <c r="A34" s="77" t="str">
        <f>Hintergrunddaten!B49</f>
        <v>Balkonkraftwerk</v>
      </c>
      <c r="B34" s="82"/>
      <c r="C34" s="79"/>
      <c r="D34" s="88"/>
      <c r="E34" s="88"/>
    </row>
    <row r="35" spans="1:5" x14ac:dyDescent="0.25">
      <c r="A35" s="81" t="str">
        <f>Hintergrunddaten!B50</f>
        <v>Steckerfertige Erzeugungsanlagen</v>
      </c>
      <c r="B35" s="82">
        <f>Hintergrunddaten!C50</f>
        <v>100</v>
      </c>
      <c r="C35" s="79" t="s">
        <v>156</v>
      </c>
      <c r="D35" s="88">
        <f>Hintergrunddaten!F50</f>
        <v>100</v>
      </c>
      <c r="E35" s="88">
        <f>Hintergrunddaten!H50</f>
        <v>100</v>
      </c>
    </row>
    <row r="36" spans="1:5" ht="34.5" customHeight="1" x14ac:dyDescent="0.25">
      <c r="A36" s="77" t="str">
        <f>Hintergrunddaten!B51</f>
        <v>Dachbegrünung</v>
      </c>
      <c r="B36" s="82"/>
      <c r="C36" s="79"/>
      <c r="D36" s="88"/>
      <c r="E36" s="88"/>
    </row>
    <row r="37" spans="1:5" x14ac:dyDescent="0.25">
      <c r="A37" s="81" t="str">
        <f>Hintergrunddaten!B52</f>
        <v>Extensive oder intensive Dachbegrünung</v>
      </c>
      <c r="B37" s="82">
        <f>Hintergrunddaten!C52</f>
        <v>15</v>
      </c>
      <c r="C37" s="79" t="s">
        <v>263</v>
      </c>
      <c r="D37" s="88">
        <f>Hintergrunddaten!F52</f>
        <v>150</v>
      </c>
      <c r="E37" s="88">
        <f>Hintergrunddaten!H52</f>
        <v>4500</v>
      </c>
    </row>
    <row r="38" spans="1:5" x14ac:dyDescent="0.25">
      <c r="A38" s="83"/>
      <c r="B38" s="84"/>
      <c r="C38" s="85"/>
      <c r="D38" s="89"/>
      <c r="E38" s="89"/>
    </row>
  </sheetData>
  <mergeCells count="1">
    <mergeCell ref="B2:C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Förderantrag</vt:lpstr>
      <vt:lpstr>Antragsdaten</vt:lpstr>
      <vt:lpstr>Hintergrunddaten</vt:lpstr>
      <vt:lpstr>Fördersätze Förderrichtlinie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2024-04-03T11:22:22Z</dcterms:modified>
</cp:coreProperties>
</file>